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disco D\INDUPAL\CONTRALORIA MUNICIPAL\3. VALORACION DE RIESGOS\"/>
    </mc:Choice>
  </mc:AlternateContent>
  <bookViews>
    <workbookView xWindow="-120" yWindow="-120" windowWidth="20730" windowHeight="11160" tabRatio="882" activeTab="1"/>
  </bookViews>
  <sheets>
    <sheet name="Ins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1" hidden="1">'Mapa final'!$A$8:$BR$128</definedName>
  </definedNames>
  <calcPr calcId="152511" concurrentCalc="0"/>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8" i="1" l="1"/>
  <c r="S38" i="1"/>
  <c r="M38" i="1"/>
  <c r="V37" i="1"/>
  <c r="S37" i="1"/>
  <c r="Z38" i="1"/>
  <c r="AA38" i="1"/>
  <c r="M37" i="1"/>
  <c r="V36" i="1"/>
  <c r="S36" i="1"/>
  <c r="Z37" i="1"/>
  <c r="AA37" i="1"/>
  <c r="M36" i="1"/>
  <c r="V35" i="1"/>
  <c r="S35" i="1"/>
  <c r="Z36" i="1"/>
  <c r="AA36" i="1"/>
  <c r="M35" i="1"/>
  <c r="V34" i="1"/>
  <c r="S34" i="1"/>
  <c r="Z35" i="1"/>
  <c r="AA35" i="1"/>
  <c r="M34" i="1"/>
  <c r="V33" i="1"/>
  <c r="S33" i="1"/>
  <c r="M33" i="1"/>
  <c r="N33" i="1"/>
  <c r="O33" i="1"/>
  <c r="J33" i="1"/>
  <c r="K33" i="1"/>
  <c r="S16" i="1"/>
  <c r="V15" i="1"/>
  <c r="S15" i="1"/>
  <c r="M15" i="1"/>
  <c r="N15" i="1"/>
  <c r="O15" i="1"/>
  <c r="AD15" i="1"/>
  <c r="AC15" i="1"/>
  <c r="Z33" i="1"/>
  <c r="AA33" i="1"/>
  <c r="P33" i="1"/>
  <c r="J15" i="1"/>
  <c r="K15" i="1"/>
  <c r="Z15" i="1"/>
  <c r="M9" i="1"/>
  <c r="N9" i="1"/>
  <c r="O9" i="1"/>
  <c r="AD16" i="1"/>
  <c r="AC16" i="1"/>
  <c r="M14" i="1"/>
  <c r="M13" i="1"/>
  <c r="M12" i="1"/>
  <c r="M11" i="1"/>
  <c r="M10" i="1"/>
  <c r="AB15" i="1"/>
  <c r="Z16" i="1"/>
  <c r="AA15" i="1"/>
  <c r="AE15" i="1"/>
  <c r="J9" i="1"/>
  <c r="K9" i="1"/>
  <c r="S10" i="1"/>
  <c r="S9" i="1"/>
  <c r="AB16" i="1"/>
  <c r="AA16" i="1"/>
  <c r="AE16" i="1"/>
  <c r="V128" i="1"/>
  <c r="S128" i="1"/>
  <c r="V127" i="1"/>
  <c r="S127" i="1"/>
  <c r="V126" i="1"/>
  <c r="S126" i="1"/>
  <c r="V125" i="1"/>
  <c r="S125" i="1"/>
  <c r="V124" i="1"/>
  <c r="S124" i="1"/>
  <c r="V123" i="1"/>
  <c r="S123" i="1"/>
  <c r="J123" i="1"/>
  <c r="V122" i="1"/>
  <c r="S122" i="1"/>
  <c r="V121" i="1"/>
  <c r="S121" i="1"/>
  <c r="V120" i="1"/>
  <c r="S120" i="1"/>
  <c r="V119" i="1"/>
  <c r="S119" i="1"/>
  <c r="V118" i="1"/>
  <c r="S118" i="1"/>
  <c r="V117" i="1"/>
  <c r="S117" i="1"/>
  <c r="J117" i="1"/>
  <c r="V116" i="1"/>
  <c r="S116" i="1"/>
  <c r="V115" i="1"/>
  <c r="S115" i="1"/>
  <c r="V114" i="1"/>
  <c r="S114" i="1"/>
  <c r="V113" i="1"/>
  <c r="S113" i="1"/>
  <c r="V112" i="1"/>
  <c r="S112" i="1"/>
  <c r="V111" i="1"/>
  <c r="S111" i="1"/>
  <c r="AD111" i="1"/>
  <c r="AC111" i="1"/>
  <c r="J111" i="1"/>
  <c r="K111" i="1"/>
  <c r="V110" i="1"/>
  <c r="S110" i="1"/>
  <c r="V109" i="1"/>
  <c r="S109" i="1"/>
  <c r="V108" i="1"/>
  <c r="S108" i="1"/>
  <c r="V107" i="1"/>
  <c r="S107" i="1"/>
  <c r="V106" i="1"/>
  <c r="S106" i="1"/>
  <c r="V105" i="1"/>
  <c r="S105" i="1"/>
  <c r="J105" i="1"/>
  <c r="V104" i="1"/>
  <c r="S104" i="1"/>
  <c r="V103" i="1"/>
  <c r="S103" i="1"/>
  <c r="V102" i="1"/>
  <c r="S102" i="1"/>
  <c r="V101" i="1"/>
  <c r="S101" i="1"/>
  <c r="V100" i="1"/>
  <c r="S100" i="1"/>
  <c r="V99" i="1"/>
  <c r="S99" i="1"/>
  <c r="AD99" i="1"/>
  <c r="AC99" i="1"/>
  <c r="J99" i="1"/>
  <c r="K99" i="1"/>
  <c r="V98" i="1"/>
  <c r="S98" i="1"/>
  <c r="V97" i="1"/>
  <c r="S97" i="1"/>
  <c r="V96" i="1"/>
  <c r="S96" i="1"/>
  <c r="V95" i="1"/>
  <c r="S95" i="1"/>
  <c r="V94" i="1"/>
  <c r="S94" i="1"/>
  <c r="V93" i="1"/>
  <c r="S93" i="1"/>
  <c r="J93" i="1"/>
  <c r="V92" i="1"/>
  <c r="S92" i="1"/>
  <c r="V91" i="1"/>
  <c r="S91" i="1"/>
  <c r="V90" i="1"/>
  <c r="S90" i="1"/>
  <c r="V89" i="1"/>
  <c r="S89" i="1"/>
  <c r="V88" i="1"/>
  <c r="S88" i="1"/>
  <c r="V87" i="1"/>
  <c r="S87" i="1"/>
  <c r="AD87" i="1"/>
  <c r="AC87" i="1"/>
  <c r="J87" i="1"/>
  <c r="K87" i="1"/>
  <c r="V86" i="1"/>
  <c r="S86" i="1"/>
  <c r="V85" i="1"/>
  <c r="S85" i="1"/>
  <c r="V84" i="1"/>
  <c r="S84" i="1"/>
  <c r="V83" i="1"/>
  <c r="S83" i="1"/>
  <c r="V82" i="1"/>
  <c r="S82" i="1"/>
  <c r="V81" i="1"/>
  <c r="S81" i="1"/>
  <c r="J81" i="1"/>
  <c r="V80" i="1"/>
  <c r="S80" i="1"/>
  <c r="V79" i="1"/>
  <c r="S79" i="1"/>
  <c r="V78" i="1"/>
  <c r="S78" i="1"/>
  <c r="V77" i="1"/>
  <c r="S77" i="1"/>
  <c r="V76" i="1"/>
  <c r="S76" i="1"/>
  <c r="V75" i="1"/>
  <c r="S75" i="1"/>
  <c r="AD75" i="1"/>
  <c r="AC75" i="1"/>
  <c r="J75" i="1"/>
  <c r="K75" i="1"/>
  <c r="V74" i="1"/>
  <c r="S74" i="1"/>
  <c r="V73" i="1"/>
  <c r="S73" i="1"/>
  <c r="V72" i="1"/>
  <c r="S72" i="1"/>
  <c r="V71" i="1"/>
  <c r="S71" i="1"/>
  <c r="V70" i="1"/>
  <c r="S70" i="1"/>
  <c r="V69" i="1"/>
  <c r="S69" i="1"/>
  <c r="Z69" i="1"/>
  <c r="AB69" i="1"/>
  <c r="J69" i="1"/>
  <c r="M86" i="1"/>
  <c r="M106" i="1"/>
  <c r="M114" i="1"/>
  <c r="M85" i="1"/>
  <c r="M84" i="1"/>
  <c r="M103" i="1"/>
  <c r="M72" i="1"/>
  <c r="M79" i="1"/>
  <c r="M121" i="1"/>
  <c r="M116" i="1"/>
  <c r="M113" i="1"/>
  <c r="M88" i="1"/>
  <c r="M128" i="1"/>
  <c r="M76" i="1"/>
  <c r="M118" i="1"/>
  <c r="M91" i="1"/>
  <c r="M94" i="1"/>
  <c r="M82" i="1"/>
  <c r="M124" i="1"/>
  <c r="M109" i="1"/>
  <c r="M74" i="1"/>
  <c r="M73" i="1"/>
  <c r="M77" i="1"/>
  <c r="M122" i="1"/>
  <c r="M90" i="1"/>
  <c r="M71" i="1"/>
  <c r="M96" i="1"/>
  <c r="M101" i="1"/>
  <c r="M100" i="1"/>
  <c r="M102" i="1"/>
  <c r="M120" i="1"/>
  <c r="M78" i="1"/>
  <c r="M119" i="1"/>
  <c r="M127" i="1"/>
  <c r="M126" i="1"/>
  <c r="M104" i="1"/>
  <c r="M97" i="1"/>
  <c r="M112" i="1"/>
  <c r="M98" i="1"/>
  <c r="M80" i="1"/>
  <c r="M95" i="1"/>
  <c r="M70" i="1"/>
  <c r="M125" i="1"/>
  <c r="M115" i="1"/>
  <c r="M108" i="1"/>
  <c r="M107" i="1"/>
  <c r="M92" i="1"/>
  <c r="M110" i="1"/>
  <c r="M83" i="1"/>
  <c r="M89" i="1"/>
  <c r="Z119" i="1"/>
  <c r="Z109" i="1"/>
  <c r="AD73" i="1"/>
  <c r="AC73" i="1"/>
  <c r="Z83" i="1"/>
  <c r="Z95" i="1"/>
  <c r="AA95" i="1"/>
  <c r="AD120" i="1"/>
  <c r="AC120" i="1"/>
  <c r="AD92" i="1"/>
  <c r="AC92" i="1"/>
  <c r="AD126" i="1"/>
  <c r="AC126" i="1"/>
  <c r="Z80" i="1"/>
  <c r="AB80" i="1"/>
  <c r="AD109" i="1"/>
  <c r="AC109" i="1"/>
  <c r="AD116" i="1"/>
  <c r="AC116" i="1"/>
  <c r="AD113" i="1"/>
  <c r="AC113" i="1"/>
  <c r="AD124" i="1"/>
  <c r="AC124" i="1"/>
  <c r="AD102" i="1"/>
  <c r="AC102" i="1"/>
  <c r="AD82" i="1"/>
  <c r="AC82" i="1"/>
  <c r="AD89" i="1"/>
  <c r="AC89" i="1"/>
  <c r="AD106" i="1"/>
  <c r="AC106" i="1"/>
  <c r="Z111" i="1"/>
  <c r="AB111" i="1"/>
  <c r="Z102" i="1"/>
  <c r="AB102" i="1"/>
  <c r="AD119" i="1"/>
  <c r="AC119" i="1"/>
  <c r="AD69" i="1"/>
  <c r="AC69" i="1"/>
  <c r="Z73" i="1"/>
  <c r="AB73" i="1"/>
  <c r="AD77" i="1"/>
  <c r="AC77" i="1"/>
  <c r="Z92" i="1"/>
  <c r="AB92" i="1"/>
  <c r="AD95" i="1"/>
  <c r="AC95" i="1"/>
  <c r="AD80" i="1"/>
  <c r="AC80" i="1"/>
  <c r="AD74" i="1"/>
  <c r="AC74" i="1"/>
  <c r="AD79" i="1"/>
  <c r="AC79" i="1"/>
  <c r="AD103" i="1"/>
  <c r="AC103" i="1"/>
  <c r="Z126" i="1"/>
  <c r="AB126" i="1"/>
  <c r="Z123" i="1"/>
  <c r="AB123" i="1"/>
  <c r="Z112" i="1"/>
  <c r="AB112" i="1"/>
  <c r="AD72" i="1"/>
  <c r="AC72" i="1"/>
  <c r="Z76" i="1"/>
  <c r="AB76" i="1"/>
  <c r="Z88" i="1"/>
  <c r="Z105" i="1"/>
  <c r="AB105" i="1"/>
  <c r="AD112" i="1"/>
  <c r="AC112" i="1"/>
  <c r="AD76" i="1"/>
  <c r="AC76" i="1"/>
  <c r="AD88" i="1"/>
  <c r="AC88" i="1"/>
  <c r="AD96" i="1"/>
  <c r="AC96" i="1"/>
  <c r="AD105" i="1"/>
  <c r="AC105" i="1"/>
  <c r="AD110" i="1"/>
  <c r="AC110" i="1"/>
  <c r="AD114" i="1"/>
  <c r="AC114" i="1"/>
  <c r="Z116" i="1"/>
  <c r="AB116" i="1"/>
  <c r="AD70" i="1"/>
  <c r="AC70" i="1"/>
  <c r="AD127" i="1"/>
  <c r="AC127" i="1"/>
  <c r="AA83" i="1"/>
  <c r="AB83" i="1"/>
  <c r="AD86" i="1"/>
  <c r="AC86" i="1"/>
  <c r="Z86" i="1"/>
  <c r="AD98" i="1"/>
  <c r="AC98" i="1"/>
  <c r="Z98" i="1"/>
  <c r="AD97" i="1"/>
  <c r="AC97" i="1"/>
  <c r="Z97" i="1"/>
  <c r="AD122" i="1"/>
  <c r="AC122" i="1"/>
  <c r="Z122" i="1"/>
  <c r="K69" i="1"/>
  <c r="AA69" i="1"/>
  <c r="Z70" i="1"/>
  <c r="Z74" i="1"/>
  <c r="Z77" i="1"/>
  <c r="AD84" i="1"/>
  <c r="AC84" i="1"/>
  <c r="Z84" i="1"/>
  <c r="AD83" i="1"/>
  <c r="AC83" i="1"/>
  <c r="AD94" i="1"/>
  <c r="AC94" i="1"/>
  <c r="Z94" i="1"/>
  <c r="AD93" i="1"/>
  <c r="AC93" i="1"/>
  <c r="Z93" i="1"/>
  <c r="AD104" i="1"/>
  <c r="AC104" i="1"/>
  <c r="Z104" i="1"/>
  <c r="AD108" i="1"/>
  <c r="AC108" i="1"/>
  <c r="Z108" i="1"/>
  <c r="AD107" i="1"/>
  <c r="AC107" i="1"/>
  <c r="Z107" i="1"/>
  <c r="AD118" i="1"/>
  <c r="AC118" i="1"/>
  <c r="Z118" i="1"/>
  <c r="AD117" i="1"/>
  <c r="AC117" i="1"/>
  <c r="Z117" i="1"/>
  <c r="AD121" i="1"/>
  <c r="AC121" i="1"/>
  <c r="AD85" i="1"/>
  <c r="AC85" i="1"/>
  <c r="K105" i="1"/>
  <c r="Z78" i="1"/>
  <c r="AD78" i="1"/>
  <c r="AC78" i="1"/>
  <c r="Z81" i="1"/>
  <c r="AD81" i="1"/>
  <c r="AC81" i="1"/>
  <c r="Z85" i="1"/>
  <c r="AB88" i="1"/>
  <c r="AA88" i="1"/>
  <c r="AD101" i="1"/>
  <c r="AC101" i="1"/>
  <c r="Z101" i="1"/>
  <c r="AD100" i="1"/>
  <c r="AC100" i="1"/>
  <c r="Z100" i="1"/>
  <c r="AD125" i="1"/>
  <c r="AC125" i="1"/>
  <c r="Z125" i="1"/>
  <c r="AD128" i="1"/>
  <c r="AC128" i="1"/>
  <c r="Z71" i="1"/>
  <c r="AD71" i="1"/>
  <c r="AC71" i="1"/>
  <c r="Z72" i="1"/>
  <c r="Z75" i="1"/>
  <c r="Z79" i="1"/>
  <c r="K81" i="1"/>
  <c r="Z82" i="1"/>
  <c r="AD91" i="1"/>
  <c r="AC91" i="1"/>
  <c r="Z91" i="1"/>
  <c r="AD90" i="1"/>
  <c r="AC90" i="1"/>
  <c r="Z90" i="1"/>
  <c r="AB109" i="1"/>
  <c r="AA109" i="1"/>
  <c r="AD115" i="1"/>
  <c r="AC115" i="1"/>
  <c r="Z115" i="1"/>
  <c r="Z114" i="1"/>
  <c r="AB119" i="1"/>
  <c r="AA119" i="1"/>
  <c r="AE119" i="1"/>
  <c r="Z89" i="1"/>
  <c r="Z96" i="1"/>
  <c r="Z99" i="1"/>
  <c r="Z103" i="1"/>
  <c r="Z106" i="1"/>
  <c r="Z110" i="1"/>
  <c r="Z113" i="1"/>
  <c r="Z120" i="1"/>
  <c r="AD123" i="1"/>
  <c r="AC123" i="1"/>
  <c r="Z127" i="1"/>
  <c r="Z121" i="1"/>
  <c r="K123" i="1"/>
  <c r="Z124" i="1"/>
  <c r="Z128" i="1"/>
  <c r="Z87" i="1"/>
  <c r="K93" i="1"/>
  <c r="K117" i="1"/>
  <c r="AA111" i="1"/>
  <c r="AE111" i="1"/>
  <c r="AA92" i="1"/>
  <c r="AA123" i="1"/>
  <c r="AB95" i="1"/>
  <c r="AA80" i="1"/>
  <c r="AE80" i="1"/>
  <c r="AE95" i="1"/>
  <c r="AA102" i="1"/>
  <c r="AE102" i="1"/>
  <c r="AE92" i="1"/>
  <c r="AA76" i="1"/>
  <c r="AE76" i="1"/>
  <c r="AE109" i="1"/>
  <c r="AE123" i="1"/>
  <c r="AA105" i="1"/>
  <c r="AE105" i="1"/>
  <c r="AE69" i="1"/>
  <c r="AA116" i="1"/>
  <c r="AE116" i="1"/>
  <c r="AA73" i="1"/>
  <c r="AE73" i="1"/>
  <c r="AA126" i="1"/>
  <c r="AE126" i="1"/>
  <c r="AA112" i="1"/>
  <c r="AE112" i="1"/>
  <c r="AE88" i="1"/>
  <c r="AA117" i="1"/>
  <c r="AE117" i="1"/>
  <c r="AB117" i="1"/>
  <c r="AB108" i="1"/>
  <c r="AA108" i="1"/>
  <c r="AE108" i="1"/>
  <c r="AB122" i="1"/>
  <c r="AA122" i="1"/>
  <c r="AE122" i="1"/>
  <c r="AB106" i="1"/>
  <c r="AA106" i="1"/>
  <c r="AE106" i="1"/>
  <c r="AB89" i="1"/>
  <c r="AA89" i="1"/>
  <c r="AE89" i="1"/>
  <c r="AA114" i="1"/>
  <c r="AE114" i="1"/>
  <c r="AB114" i="1"/>
  <c r="AA90" i="1"/>
  <c r="AE90" i="1"/>
  <c r="AB90" i="1"/>
  <c r="AA82" i="1"/>
  <c r="AE82" i="1"/>
  <c r="AB82" i="1"/>
  <c r="AA72" i="1"/>
  <c r="AE72" i="1"/>
  <c r="AB72" i="1"/>
  <c r="AB125" i="1"/>
  <c r="AA125" i="1"/>
  <c r="AE125" i="1"/>
  <c r="AA100" i="1"/>
  <c r="AE100" i="1"/>
  <c r="AB100" i="1"/>
  <c r="AA81" i="1"/>
  <c r="AE81" i="1"/>
  <c r="AB81" i="1"/>
  <c r="AA124" i="1"/>
  <c r="AE124" i="1"/>
  <c r="AB124" i="1"/>
  <c r="AB127" i="1"/>
  <c r="AA127" i="1"/>
  <c r="AE127" i="1"/>
  <c r="AB110" i="1"/>
  <c r="AA110" i="1"/>
  <c r="AE110" i="1"/>
  <c r="AB96" i="1"/>
  <c r="AA96" i="1"/>
  <c r="AE96" i="1"/>
  <c r="AA93" i="1"/>
  <c r="AE93" i="1"/>
  <c r="AB93" i="1"/>
  <c r="AB98" i="1"/>
  <c r="AA98" i="1"/>
  <c r="AE98" i="1"/>
  <c r="AB87" i="1"/>
  <c r="AA87" i="1"/>
  <c r="AE87" i="1"/>
  <c r="AB120" i="1"/>
  <c r="AA120" i="1"/>
  <c r="AE120" i="1"/>
  <c r="AB103" i="1"/>
  <c r="AA103" i="1"/>
  <c r="AE103" i="1"/>
  <c r="AB115" i="1"/>
  <c r="AA115" i="1"/>
  <c r="AE115" i="1"/>
  <c r="AB118" i="1"/>
  <c r="AA118" i="1"/>
  <c r="AE118" i="1"/>
  <c r="AA107" i="1"/>
  <c r="AE107" i="1"/>
  <c r="AB107" i="1"/>
  <c r="AA104" i="1"/>
  <c r="AE104" i="1"/>
  <c r="AB104" i="1"/>
  <c r="AB94" i="1"/>
  <c r="AA94" i="1"/>
  <c r="AE94" i="1"/>
  <c r="AB77" i="1"/>
  <c r="AA77" i="1"/>
  <c r="AE77" i="1"/>
  <c r="AB70" i="1"/>
  <c r="AA70" i="1"/>
  <c r="AE70" i="1"/>
  <c r="AA97" i="1"/>
  <c r="AE97" i="1"/>
  <c r="AB97" i="1"/>
  <c r="AB86" i="1"/>
  <c r="AA86" i="1"/>
  <c r="AE86" i="1"/>
  <c r="AB75" i="1"/>
  <c r="AA75" i="1"/>
  <c r="AE75" i="1"/>
  <c r="AB74" i="1"/>
  <c r="AA74" i="1"/>
  <c r="AE74" i="1"/>
  <c r="AA128" i="1"/>
  <c r="AE128" i="1"/>
  <c r="AB128" i="1"/>
  <c r="AA121" i="1"/>
  <c r="AE121" i="1"/>
  <c r="AB121" i="1"/>
  <c r="AB113" i="1"/>
  <c r="AA113" i="1"/>
  <c r="AE113" i="1"/>
  <c r="AB99" i="1"/>
  <c r="AA99" i="1"/>
  <c r="AE99" i="1"/>
  <c r="AB91" i="1"/>
  <c r="AA91" i="1"/>
  <c r="AE91" i="1"/>
  <c r="AA79" i="1"/>
  <c r="AE79" i="1"/>
  <c r="AB79" i="1"/>
  <c r="AA71" i="1"/>
  <c r="AE71" i="1"/>
  <c r="AB71" i="1"/>
  <c r="AB101" i="1"/>
  <c r="AA101" i="1"/>
  <c r="AE101" i="1"/>
  <c r="AA85" i="1"/>
  <c r="AE85" i="1"/>
  <c r="AB85" i="1"/>
  <c r="AA78" i="1"/>
  <c r="AE78" i="1"/>
  <c r="AB78" i="1"/>
  <c r="AB84" i="1"/>
  <c r="AA84" i="1"/>
  <c r="AE84" i="1"/>
  <c r="AE83" i="1"/>
  <c r="V9" i="1"/>
  <c r="M68" i="1"/>
  <c r="M65" i="1"/>
  <c r="M46" i="1"/>
  <c r="M50" i="1"/>
  <c r="M66" i="1"/>
  <c r="M53" i="1"/>
  <c r="M40" i="1"/>
  <c r="M61" i="1"/>
  <c r="M42" i="1"/>
  <c r="M52" i="1"/>
  <c r="M17" i="1"/>
  <c r="M26" i="1"/>
  <c r="M24" i="1"/>
  <c r="M60" i="1"/>
  <c r="M19" i="1"/>
  <c r="M49" i="1"/>
  <c r="M32" i="1"/>
  <c r="M62" i="1"/>
  <c r="M22" i="1"/>
  <c r="M58" i="1"/>
  <c r="M20" i="1"/>
  <c r="M48" i="1"/>
  <c r="M67" i="1"/>
  <c r="M29" i="1"/>
  <c r="M47" i="1"/>
  <c r="M64" i="1"/>
  <c r="M54" i="1"/>
  <c r="M41" i="1"/>
  <c r="M25" i="1"/>
  <c r="M16" i="1"/>
  <c r="M56" i="1"/>
  <c r="M44" i="1"/>
  <c r="M43" i="1"/>
  <c r="M18" i="1"/>
  <c r="M30" i="1"/>
  <c r="M23" i="1"/>
  <c r="M59" i="1"/>
  <c r="M28" i="1"/>
  <c r="M55" i="1"/>
  <c r="M31" i="1"/>
  <c r="Z9" i="1"/>
  <c r="AB9" i="1"/>
  <c r="Z10" i="1"/>
  <c r="F221" i="13"/>
  <c r="F211" i="13"/>
  <c r="F212" i="13"/>
  <c r="F213" i="13"/>
  <c r="F214" i="13"/>
  <c r="F215" i="13"/>
  <c r="F216" i="13"/>
  <c r="F217" i="13"/>
  <c r="F218" i="13"/>
  <c r="F219" i="13"/>
  <c r="F220" i="13"/>
  <c r="F210" i="13"/>
  <c r="B221" i="13" a="1"/>
  <c r="B221" i="13"/>
  <c r="S51" i="1"/>
  <c r="S46" i="1"/>
  <c r="S40"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V68" i="1"/>
  <c r="S68" i="1"/>
  <c r="V67" i="1"/>
  <c r="S67" i="1"/>
  <c r="V66" i="1"/>
  <c r="S66" i="1"/>
  <c r="V65" i="1"/>
  <c r="S65" i="1"/>
  <c r="V64" i="1"/>
  <c r="S64" i="1"/>
  <c r="V63" i="1"/>
  <c r="S63" i="1"/>
  <c r="J63" i="1"/>
  <c r="K63" i="1"/>
  <c r="V62" i="1"/>
  <c r="S62" i="1"/>
  <c r="V61" i="1"/>
  <c r="S61" i="1"/>
  <c r="V60" i="1"/>
  <c r="S60" i="1"/>
  <c r="V59" i="1"/>
  <c r="S59" i="1"/>
  <c r="V58" i="1"/>
  <c r="S58" i="1"/>
  <c r="V57" i="1"/>
  <c r="S57" i="1"/>
  <c r="J57" i="1"/>
  <c r="K57" i="1"/>
  <c r="V56" i="1"/>
  <c r="S56" i="1"/>
  <c r="V55" i="1"/>
  <c r="S55" i="1"/>
  <c r="V54" i="1"/>
  <c r="S54" i="1"/>
  <c r="V53" i="1"/>
  <c r="S53" i="1"/>
  <c r="V52" i="1"/>
  <c r="S52" i="1"/>
  <c r="V51" i="1"/>
  <c r="J51" i="1"/>
  <c r="K51" i="1"/>
  <c r="V50" i="1"/>
  <c r="S50" i="1"/>
  <c r="V49" i="1"/>
  <c r="S49" i="1"/>
  <c r="V48" i="1"/>
  <c r="S48" i="1"/>
  <c r="V47" i="1"/>
  <c r="S47" i="1"/>
  <c r="V46" i="1"/>
  <c r="V45" i="1"/>
  <c r="S45" i="1"/>
  <c r="J45" i="1"/>
  <c r="K45" i="1"/>
  <c r="V44" i="1"/>
  <c r="S44" i="1"/>
  <c r="V43" i="1"/>
  <c r="S43" i="1"/>
  <c r="V42" i="1"/>
  <c r="S42" i="1"/>
  <c r="V41" i="1"/>
  <c r="S41" i="1"/>
  <c r="V40" i="1"/>
  <c r="V39" i="1"/>
  <c r="S39" i="1"/>
  <c r="J39" i="1"/>
  <c r="K39" i="1"/>
  <c r="V32" i="1"/>
  <c r="S32" i="1"/>
  <c r="V31" i="1"/>
  <c r="S31" i="1"/>
  <c r="V30" i="1"/>
  <c r="S30" i="1"/>
  <c r="V29" i="1"/>
  <c r="S29" i="1"/>
  <c r="V28" i="1"/>
  <c r="S28" i="1"/>
  <c r="V27" i="1"/>
  <c r="S27" i="1"/>
  <c r="J27" i="1"/>
  <c r="K27" i="1"/>
  <c r="V26" i="1"/>
  <c r="S26" i="1"/>
  <c r="V25" i="1"/>
  <c r="S25" i="1"/>
  <c r="V24" i="1"/>
  <c r="S24" i="1"/>
  <c r="V23" i="1"/>
  <c r="S23" i="1"/>
  <c r="V22" i="1"/>
  <c r="S22" i="1"/>
  <c r="V21" i="1"/>
  <c r="S21" i="1"/>
  <c r="J21" i="1"/>
  <c r="K21" i="1"/>
  <c r="S14" i="1"/>
  <c r="V20" i="1"/>
  <c r="S20" i="1"/>
  <c r="V19" i="1"/>
  <c r="S19" i="1"/>
  <c r="V18" i="1"/>
  <c r="S18" i="1"/>
  <c r="V17" i="1"/>
  <c r="S17" i="1"/>
  <c r="AD49" i="1"/>
  <c r="AC49" i="1"/>
  <c r="AD50" i="1"/>
  <c r="AC50" i="1"/>
  <c r="Z63" i="1"/>
  <c r="Z57" i="1"/>
  <c r="Z51" i="1"/>
  <c r="Z45" i="1"/>
  <c r="Z49" i="1"/>
  <c r="Z50" i="1"/>
  <c r="Z39" i="1"/>
  <c r="Z27" i="1"/>
  <c r="Z21" i="1"/>
  <c r="AA63" i="1"/>
  <c r="AB63" i="1"/>
  <c r="Z64" i="1"/>
  <c r="AA64" i="1"/>
  <c r="AA57" i="1"/>
  <c r="AB57" i="1"/>
  <c r="Z58" i="1"/>
  <c r="AB58" i="1"/>
  <c r="Z59" i="1"/>
  <c r="AA51" i="1"/>
  <c r="AB51" i="1"/>
  <c r="Z52" i="1"/>
  <c r="AB52" i="1"/>
  <c r="Z53" i="1"/>
  <c r="AA50" i="1"/>
  <c r="AB50" i="1"/>
  <c r="AA49" i="1"/>
  <c r="AB49" i="1"/>
  <c r="AA45" i="1"/>
  <c r="AB45" i="1"/>
  <c r="AA39" i="1"/>
  <c r="AB39" i="1"/>
  <c r="Z40" i="1"/>
  <c r="AB40" i="1"/>
  <c r="Z41" i="1"/>
  <c r="AB33" i="1"/>
  <c r="Z34" i="1"/>
  <c r="AA34" i="1"/>
  <c r="AA27" i="1"/>
  <c r="AB27" i="1"/>
  <c r="Z28" i="1"/>
  <c r="AB28" i="1"/>
  <c r="Z29" i="1"/>
  <c r="AA29" i="1"/>
  <c r="AA21" i="1"/>
  <c r="AB21" i="1"/>
  <c r="Z22" i="1"/>
  <c r="AA22" i="1"/>
  <c r="AA58" i="1"/>
  <c r="AA52" i="1"/>
  <c r="AB22" i="1"/>
  <c r="Z23" i="1"/>
  <c r="AA23" i="1"/>
  <c r="AA40" i="1"/>
  <c r="AA28" i="1"/>
  <c r="AA41" i="1"/>
  <c r="AB41" i="1"/>
  <c r="AB59" i="1"/>
  <c r="Z60" i="1"/>
  <c r="AA59" i="1"/>
  <c r="AB53" i="1"/>
  <c r="Z54" i="1"/>
  <c r="AA53" i="1"/>
  <c r="AB64" i="1"/>
  <c r="Z65" i="1"/>
  <c r="Z46" i="1"/>
  <c r="Z47" i="1"/>
  <c r="AB2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E49" i="1"/>
  <c r="AE50" i="1"/>
  <c r="V14" i="1"/>
  <c r="AA60" i="1"/>
  <c r="AB60" i="1"/>
  <c r="AA54" i="1"/>
  <c r="AB54" i="1"/>
  <c r="Z55" i="1"/>
  <c r="AB23" i="1"/>
  <c r="Z24" i="1"/>
  <c r="AB24" i="1"/>
  <c r="AA47" i="1"/>
  <c r="AB47" i="1"/>
  <c r="Z48" i="1"/>
  <c r="AA65" i="1"/>
  <c r="AB65" i="1"/>
  <c r="Z66" i="1"/>
  <c r="AA46" i="1"/>
  <c r="AB46" i="1"/>
  <c r="Z42" i="1"/>
  <c r="AB34" i="1"/>
  <c r="Z31" i="1"/>
  <c r="AA31" i="1"/>
  <c r="Z30" i="1"/>
  <c r="Z17" i="1"/>
  <c r="AA17" i="1"/>
  <c r="AB35" i="1"/>
  <c r="AB36" i="1"/>
  <c r="AA55" i="1"/>
  <c r="AB55" i="1"/>
  <c r="Z56" i="1"/>
  <c r="Z61" i="1"/>
  <c r="Z62" i="1"/>
  <c r="AA24" i="1"/>
  <c r="AA42" i="1"/>
  <c r="AB42" i="1"/>
  <c r="Z43" i="1"/>
  <c r="AA43" i="1"/>
  <c r="AA48" i="1"/>
  <c r="AB48" i="1"/>
  <c r="Z25" i="1"/>
  <c r="AB66" i="1"/>
  <c r="AA66" i="1"/>
  <c r="AA30" i="1"/>
  <c r="AB30" i="1"/>
  <c r="AB31" i="1"/>
  <c r="Z32" i="1"/>
  <c r="AB17" i="1"/>
  <c r="Z18" i="1"/>
  <c r="AA18" i="1"/>
  <c r="AA62" i="1"/>
  <c r="AB62" i="1"/>
  <c r="AA61" i="1"/>
  <c r="AB61" i="1"/>
  <c r="AA56" i="1"/>
  <c r="AB56" i="1"/>
  <c r="Z67" i="1"/>
  <c r="Z68" i="1"/>
  <c r="AB43" i="1"/>
  <c r="Z44" i="1"/>
  <c r="AA44" i="1"/>
  <c r="AB37" i="1"/>
  <c r="AA25" i="1"/>
  <c r="AB25" i="1"/>
  <c r="Z26" i="1"/>
  <c r="AA26" i="1"/>
  <c r="AA32" i="1"/>
  <c r="AB32" i="1"/>
  <c r="AB18" i="1"/>
  <c r="Z19" i="1"/>
  <c r="AB19" i="1"/>
  <c r="Z20" i="1"/>
  <c r="AA9" i="1"/>
  <c r="AA68" i="1"/>
  <c r="AB68" i="1"/>
  <c r="AA67" i="1"/>
  <c r="AB67" i="1"/>
  <c r="AB38" i="1"/>
  <c r="AB44" i="1"/>
  <c r="AB26" i="1"/>
  <c r="AA19" i="1"/>
  <c r="AA20" i="1"/>
  <c r="AB20" i="1"/>
  <c r="AA10" i="1"/>
  <c r="AB10" i="1"/>
  <c r="Z14" i="1"/>
  <c r="AA14" i="1"/>
  <c r="AB14" i="1"/>
  <c r="M123" i="1"/>
  <c r="N123" i="1"/>
  <c r="M87" i="1"/>
  <c r="N87" i="1"/>
  <c r="M93" i="1"/>
  <c r="N93" i="1"/>
  <c r="M99" i="1"/>
  <c r="N99" i="1"/>
  <c r="M69" i="1"/>
  <c r="N69" i="1"/>
  <c r="M81" i="1"/>
  <c r="N81" i="1"/>
  <c r="M111" i="1"/>
  <c r="N111" i="1"/>
  <c r="M105" i="1"/>
  <c r="N105" i="1"/>
  <c r="M75" i="1"/>
  <c r="N75" i="1"/>
  <c r="M117" i="1"/>
  <c r="N117" i="1"/>
  <c r="M39" i="1"/>
  <c r="N39" i="1"/>
  <c r="M27" i="1"/>
  <c r="N27" i="1"/>
  <c r="M21" i="1"/>
  <c r="N21" i="1"/>
  <c r="M51" i="1"/>
  <c r="N51" i="1"/>
  <c r="M45" i="1"/>
  <c r="N45" i="1"/>
  <c r="M63" i="1"/>
  <c r="N63" i="1"/>
  <c r="M57" i="1"/>
  <c r="N57" i="1"/>
  <c r="O105" i="1"/>
  <c r="P105" i="1"/>
  <c r="O111" i="1"/>
  <c r="P111" i="1"/>
  <c r="O93" i="1"/>
  <c r="P93" i="1"/>
  <c r="O117" i="1"/>
  <c r="P117" i="1"/>
  <c r="O81" i="1"/>
  <c r="P81" i="1"/>
  <c r="O87" i="1"/>
  <c r="P87" i="1"/>
  <c r="P99" i="1"/>
  <c r="O99" i="1"/>
  <c r="O75" i="1"/>
  <c r="P75" i="1"/>
  <c r="O69" i="1"/>
  <c r="P69" i="1"/>
  <c r="O123" i="1"/>
  <c r="P123" i="1"/>
  <c r="Z42" i="18"/>
  <c r="N42" i="18"/>
  <c r="AF26" i="18"/>
  <c r="N26" i="18"/>
  <c r="AF18" i="18"/>
  <c r="T10" i="18"/>
  <c r="N34" i="18"/>
  <c r="T34" i="18"/>
  <c r="T18" i="18"/>
  <c r="Z18" i="18"/>
  <c r="Z10" i="18"/>
  <c r="AL18" i="18"/>
  <c r="Z26" i="18"/>
  <c r="P57" i="1"/>
  <c r="O57"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O51" i="1"/>
  <c r="AJ42" i="18"/>
  <c r="AJ18" i="18"/>
  <c r="AD26" i="18"/>
  <c r="L10" i="18"/>
  <c r="AD10" i="18"/>
  <c r="X18" i="18"/>
  <c r="AD42" i="18"/>
  <c r="L18" i="18"/>
  <c r="R10" i="18"/>
  <c r="P51" i="1"/>
  <c r="O63" i="1"/>
  <c r="AD63" i="1"/>
  <c r="AB36" i="18"/>
  <c r="AH12" i="18"/>
  <c r="P28" i="18"/>
  <c r="AH20" i="18"/>
  <c r="P36" i="18"/>
  <c r="V12" i="18"/>
  <c r="AH28" i="18"/>
  <c r="AB20" i="18"/>
  <c r="J12" i="18"/>
  <c r="J20" i="18"/>
  <c r="P63" i="1"/>
  <c r="P44" i="18"/>
  <c r="AB44" i="18"/>
  <c r="V28" i="18"/>
  <c r="V36" i="18"/>
  <c r="J28" i="18"/>
  <c r="AH36" i="18"/>
  <c r="J44" i="18"/>
  <c r="P12" i="18"/>
  <c r="AB12" i="18"/>
  <c r="V44" i="18"/>
  <c r="AH44" i="18"/>
  <c r="V20" i="18"/>
  <c r="P20" i="18"/>
  <c r="J36" i="18"/>
  <c r="AB28" i="18"/>
  <c r="T38" i="18"/>
  <c r="AF22" i="18"/>
  <c r="N38" i="18"/>
  <c r="AF30" i="18"/>
  <c r="AL6" i="18"/>
  <c r="Z6" i="18"/>
  <c r="P21" i="1"/>
  <c r="T14" i="18"/>
  <c r="T22" i="18"/>
  <c r="N6" i="18"/>
  <c r="AL30" i="18"/>
  <c r="Z22" i="18"/>
  <c r="Z14" i="18"/>
  <c r="O21" i="1"/>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O27" i="1"/>
  <c r="J40" i="18"/>
  <c r="J16" i="18"/>
  <c r="P16" i="18"/>
  <c r="V8" i="18"/>
  <c r="J8" i="18"/>
  <c r="J24" i="18"/>
  <c r="AH16" i="18"/>
  <c r="AB16" i="18"/>
  <c r="AB40" i="18"/>
  <c r="P32" i="18"/>
  <c r="P40" i="18"/>
  <c r="AH24" i="18"/>
  <c r="AB32" i="18"/>
  <c r="J32" i="18"/>
  <c r="V16" i="18"/>
  <c r="V40" i="18"/>
  <c r="AH32" i="18"/>
  <c r="V24" i="18"/>
  <c r="V32" i="18"/>
  <c r="AH8" i="18"/>
  <c r="AB8" i="18"/>
  <c r="P8" i="18"/>
  <c r="P27" i="1"/>
  <c r="AH40" i="18"/>
  <c r="AB24" i="18"/>
  <c r="P24" i="18"/>
  <c r="AD38" i="18"/>
  <c r="L30" i="18"/>
  <c r="AD30" i="18"/>
  <c r="AJ6" i="18"/>
  <c r="L14" i="18"/>
  <c r="L22" i="18"/>
  <c r="X6" i="18"/>
  <c r="L6" i="18"/>
  <c r="P15" i="1"/>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D9" i="1"/>
  <c r="O45" i="1"/>
  <c r="AH34" i="18"/>
  <c r="AH42" i="18"/>
  <c r="AH18" i="18"/>
  <c r="AB10" i="18"/>
  <c r="J26" i="18"/>
  <c r="V18" i="18"/>
  <c r="V42" i="18"/>
  <c r="J42" i="18"/>
  <c r="P10" i="18"/>
  <c r="AB26" i="18"/>
  <c r="J34" i="18"/>
  <c r="J18" i="18"/>
  <c r="AH10" i="18"/>
  <c r="AB34" i="18"/>
  <c r="P26" i="18"/>
  <c r="P34" i="18"/>
  <c r="V34" i="18"/>
  <c r="AH26" i="18"/>
  <c r="J10" i="18"/>
  <c r="P45" i="1"/>
  <c r="P18" i="18"/>
  <c r="AB42" i="18"/>
  <c r="V10" i="18"/>
  <c r="AB18" i="18"/>
  <c r="P42" i="18"/>
  <c r="V26" i="18"/>
  <c r="Z32" i="18"/>
  <c r="N24" i="18"/>
  <c r="AL32" i="18"/>
  <c r="AL40" i="18"/>
  <c r="N8" i="18"/>
  <c r="AF24" i="18"/>
  <c r="Z40" i="18"/>
  <c r="Z16" i="18"/>
  <c r="N32" i="18"/>
  <c r="T32" i="18"/>
  <c r="N40" i="18"/>
  <c r="T8" i="18"/>
  <c r="O39" i="1"/>
  <c r="AF32" i="18"/>
  <c r="AL8" i="18"/>
  <c r="T24" i="18"/>
  <c r="N16" i="18"/>
  <c r="T16" i="18"/>
  <c r="Z24" i="18"/>
  <c r="AF16" i="18"/>
  <c r="P39" i="1"/>
  <c r="T40" i="18"/>
  <c r="AF8" i="18"/>
  <c r="AL24" i="18"/>
  <c r="Z8" i="18"/>
  <c r="AF40" i="18"/>
  <c r="AL16" i="18"/>
  <c r="AD21" i="1"/>
  <c r="AD28" i="1"/>
  <c r="AD27" i="1"/>
  <c r="AC27" i="1"/>
  <c r="AC63" i="1"/>
  <c r="AD65" i="1"/>
  <c r="AD58" i="1"/>
  <c r="AD57" i="1"/>
  <c r="AD40" i="1"/>
  <c r="AD39" i="1"/>
  <c r="AC39" i="1"/>
  <c r="AD52" i="1"/>
  <c r="AD51" i="1"/>
  <c r="AC51" i="1"/>
  <c r="AC9" i="1"/>
  <c r="AD10" i="1"/>
  <c r="AD22" i="1"/>
  <c r="AC21" i="1"/>
  <c r="AD46" i="1"/>
  <c r="AD45" i="1"/>
  <c r="AC45" i="1"/>
  <c r="AD34" i="1"/>
  <c r="AD33" i="1"/>
  <c r="AC33" i="1"/>
  <c r="J40" i="19"/>
  <c r="V30" i="19"/>
  <c r="AH20" i="19"/>
  <c r="J30" i="19"/>
  <c r="V20" i="19"/>
  <c r="AH10" i="19"/>
  <c r="P10" i="19"/>
  <c r="AB50" i="19"/>
  <c r="J50" i="19"/>
  <c r="AB40" i="19"/>
  <c r="P30" i="19"/>
  <c r="V50" i="19"/>
  <c r="P50" i="19"/>
  <c r="AB10" i="19"/>
  <c r="AH30" i="19"/>
  <c r="AH40" i="19"/>
  <c r="J10" i="19"/>
  <c r="AB20" i="19"/>
  <c r="AH50" i="19"/>
  <c r="AE33" i="1"/>
  <c r="V10" i="19"/>
  <c r="P20" i="19"/>
  <c r="J20" i="19"/>
  <c r="P40" i="19"/>
  <c r="V40" i="19"/>
  <c r="AB30" i="19"/>
  <c r="J11" i="19"/>
  <c r="V11" i="19"/>
  <c r="AB21" i="19"/>
  <c r="P31" i="19"/>
  <c r="J31" i="19"/>
  <c r="AB41" i="19"/>
  <c r="AE39" i="1"/>
  <c r="AH41" i="19"/>
  <c r="P41" i="19"/>
  <c r="J21" i="19"/>
  <c r="AB31" i="19"/>
  <c r="AB51" i="19"/>
  <c r="P21" i="19"/>
  <c r="V41" i="19"/>
  <c r="V31" i="19"/>
  <c r="AH21" i="19"/>
  <c r="AB11" i="19"/>
  <c r="P51" i="19"/>
  <c r="V21" i="19"/>
  <c r="AH31" i="19"/>
  <c r="V51" i="19"/>
  <c r="J51" i="19"/>
  <c r="AH51" i="19"/>
  <c r="AH11" i="19"/>
  <c r="J41" i="19"/>
  <c r="P11" i="19"/>
  <c r="AC22" i="1"/>
  <c r="AD23" i="1"/>
  <c r="AB36" i="19"/>
  <c r="AH16" i="19"/>
  <c r="P16" i="19"/>
  <c r="V46" i="19"/>
  <c r="J6" i="19"/>
  <c r="AB16" i="19"/>
  <c r="V26" i="19"/>
  <c r="V16" i="19"/>
  <c r="AB6" i="19"/>
  <c r="J26" i="19"/>
  <c r="P6" i="19"/>
  <c r="AH46" i="19"/>
  <c r="P46" i="19"/>
  <c r="AH26" i="19"/>
  <c r="AH36" i="19"/>
  <c r="V36" i="19"/>
  <c r="P36" i="19"/>
  <c r="V6" i="19"/>
  <c r="AH6" i="19"/>
  <c r="AB46" i="19"/>
  <c r="AB26" i="19"/>
  <c r="J16" i="19"/>
  <c r="P26" i="19"/>
  <c r="AE9" i="1"/>
  <c r="J36" i="19"/>
  <c r="J46" i="19"/>
  <c r="V25" i="19"/>
  <c r="AH25" i="19"/>
  <c r="P45" i="19"/>
  <c r="AH45" i="19"/>
  <c r="AH15" i="19"/>
  <c r="AB55" i="19"/>
  <c r="J45" i="19"/>
  <c r="AH35" i="19"/>
  <c r="V45" i="19"/>
  <c r="AH55" i="19"/>
  <c r="V15" i="19"/>
  <c r="J25" i="19"/>
  <c r="V35" i="19"/>
  <c r="AE63" i="1"/>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E51"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57" i="1"/>
  <c r="AD64" i="1"/>
  <c r="AC64" i="1"/>
  <c r="AE2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E21"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C10" i="1"/>
  <c r="AC65" i="1"/>
  <c r="AD66" i="1"/>
  <c r="AD35" i="1"/>
  <c r="AC34" i="1"/>
  <c r="AC40" i="1"/>
  <c r="AD41" i="1"/>
  <c r="AC41" i="1"/>
  <c r="AD42" i="1"/>
  <c r="V32" i="19"/>
  <c r="P42" i="19"/>
  <c r="J12" i="19"/>
  <c r="J32" i="19"/>
  <c r="AB52" i="19"/>
  <c r="AE45" i="1"/>
  <c r="J22" i="19"/>
  <c r="V22" i="19"/>
  <c r="J52" i="19"/>
  <c r="AH12" i="19"/>
  <c r="J42" i="19"/>
  <c r="AH42" i="19"/>
  <c r="P32" i="19"/>
  <c r="AB12" i="19"/>
  <c r="AH32" i="19"/>
  <c r="AB32" i="19"/>
  <c r="AB42" i="19"/>
  <c r="V42" i="19"/>
  <c r="V12" i="19"/>
  <c r="V52" i="19"/>
  <c r="AB22" i="19"/>
  <c r="AH52" i="19"/>
  <c r="AH22" i="19"/>
  <c r="P22" i="19"/>
  <c r="P12" i="19"/>
  <c r="P52" i="19"/>
  <c r="AD47" i="1"/>
  <c r="AC47" i="1"/>
  <c r="AD48" i="1"/>
  <c r="AC48" i="1"/>
  <c r="AC46" i="1"/>
  <c r="AD17" i="1"/>
  <c r="AC52" i="1"/>
  <c r="AD53" i="1"/>
  <c r="AC58" i="1"/>
  <c r="AD59" i="1"/>
  <c r="AC28" i="1"/>
  <c r="AD29" i="1"/>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AC66" i="1"/>
  <c r="AD67" i="1"/>
  <c r="K35" i="19"/>
  <c r="AC25" i="19"/>
  <c r="K45" i="19"/>
  <c r="AI45" i="19"/>
  <c r="W45" i="19"/>
  <c r="Q35" i="19"/>
  <c r="K55" i="19"/>
  <c r="AC15" i="19"/>
  <c r="Q15" i="19"/>
  <c r="AC35" i="19"/>
  <c r="AI35" i="19"/>
  <c r="Q55" i="19"/>
  <c r="AI25" i="19"/>
  <c r="AE64"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E58"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E40" i="1"/>
  <c r="AD55" i="19"/>
  <c r="R15" i="19"/>
  <c r="AJ35" i="19"/>
  <c r="AE65"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E57"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E47" i="1"/>
  <c r="AD12" i="19"/>
  <c r="AD32" i="19"/>
  <c r="AD22" i="19"/>
  <c r="X52" i="19"/>
  <c r="AD52" i="19"/>
  <c r="L42" i="19"/>
  <c r="R42" i="19"/>
  <c r="AJ21" i="19"/>
  <c r="AD31" i="19"/>
  <c r="R21" i="19"/>
  <c r="AD41" i="19"/>
  <c r="AJ11" i="19"/>
  <c r="AJ51" i="19"/>
  <c r="AE41" i="1"/>
  <c r="L41" i="19"/>
  <c r="AD11" i="19"/>
  <c r="L21" i="19"/>
  <c r="L11" i="19"/>
  <c r="X51" i="19"/>
  <c r="X21" i="19"/>
  <c r="R11" i="19"/>
  <c r="R31" i="19"/>
  <c r="AJ41" i="19"/>
  <c r="L31" i="19"/>
  <c r="R51" i="19"/>
  <c r="X31" i="19"/>
  <c r="X11" i="19"/>
  <c r="X41" i="19"/>
  <c r="AJ31" i="19"/>
  <c r="AD51" i="19"/>
  <c r="R41" i="19"/>
  <c r="AD21" i="19"/>
  <c r="L51" i="19"/>
  <c r="AD18" i="1"/>
  <c r="AC17" i="1"/>
  <c r="AC29" i="1"/>
  <c r="AD30" i="1"/>
  <c r="AC53" i="1"/>
  <c r="AD54" i="1"/>
  <c r="K42" i="19"/>
  <c r="AC32" i="19"/>
  <c r="W42" i="19"/>
  <c r="AI52" i="19"/>
  <c r="K22" i="19"/>
  <c r="Q32" i="19"/>
  <c r="AI12" i="19"/>
  <c r="AC52" i="19"/>
  <c r="Q42" i="19"/>
  <c r="AC42" i="19"/>
  <c r="K12" i="19"/>
  <c r="Q22" i="19"/>
  <c r="W52" i="19"/>
  <c r="AI42" i="19"/>
  <c r="W32" i="19"/>
  <c r="AI22" i="19"/>
  <c r="W12" i="19"/>
  <c r="AI32" i="19"/>
  <c r="AC12" i="19"/>
  <c r="Q12" i="19"/>
  <c r="Q52" i="19"/>
  <c r="AE46" i="1"/>
  <c r="K32" i="19"/>
  <c r="W22" i="19"/>
  <c r="K52" i="19"/>
  <c r="AC22" i="19"/>
  <c r="AC40" i="19"/>
  <c r="W10" i="19"/>
  <c r="AC50" i="19"/>
  <c r="Q10" i="19"/>
  <c r="Q30" i="19"/>
  <c r="W50" i="19"/>
  <c r="K40" i="19"/>
  <c r="Q50" i="19"/>
  <c r="W20" i="19"/>
  <c r="AE34" i="1"/>
  <c r="K10" i="19"/>
  <c r="Q40" i="19"/>
  <c r="K30" i="19"/>
  <c r="AI50" i="19"/>
  <c r="AI20" i="19"/>
  <c r="K50" i="19"/>
  <c r="AI40" i="19"/>
  <c r="W40" i="19"/>
  <c r="K20" i="19"/>
  <c r="AC10" i="19"/>
  <c r="AI10" i="19"/>
  <c r="AC20" i="19"/>
  <c r="AI30" i="19"/>
  <c r="AC30" i="19"/>
  <c r="W30" i="19"/>
  <c r="Q20" i="19"/>
  <c r="AE10"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D24" i="1"/>
  <c r="AC23" i="1"/>
  <c r="AC59" i="1"/>
  <c r="AD60" i="1"/>
  <c r="K39" i="19"/>
  <c r="AC39" i="19"/>
  <c r="W29" i="19"/>
  <c r="AI49" i="19"/>
  <c r="W9" i="19"/>
  <c r="AC19" i="19"/>
  <c r="Q49" i="19"/>
  <c r="W49" i="19"/>
  <c r="AC9" i="19"/>
  <c r="AI9" i="19"/>
  <c r="Q29" i="19"/>
  <c r="W39" i="19"/>
  <c r="Q39" i="19"/>
  <c r="AE28"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E52" i="1"/>
  <c r="Q33" i="19"/>
  <c r="AI23" i="19"/>
  <c r="K53" i="19"/>
  <c r="AC23" i="19"/>
  <c r="AC13" i="19"/>
  <c r="W23" i="19"/>
  <c r="W33" i="19"/>
  <c r="Q13" i="19"/>
  <c r="W13" i="19"/>
  <c r="AI13" i="19"/>
  <c r="Q43" i="19"/>
  <c r="Q23" i="19"/>
  <c r="W53" i="19"/>
  <c r="M12" i="19"/>
  <c r="AK42" i="19"/>
  <c r="AE32" i="19"/>
  <c r="AE48" i="1"/>
  <c r="M52" i="19"/>
  <c r="S12" i="19"/>
  <c r="M32" i="19"/>
  <c r="S52" i="19"/>
  <c r="Y52" i="19"/>
  <c r="Y42" i="19"/>
  <c r="AK12" i="19"/>
  <c r="S22" i="19"/>
  <c r="AE12" i="19"/>
  <c r="Y22" i="19"/>
  <c r="S32" i="19"/>
  <c r="AK52" i="19"/>
  <c r="M22" i="19"/>
  <c r="AK32" i="19"/>
  <c r="AE22" i="19"/>
  <c r="AE42" i="19"/>
  <c r="Y32" i="19"/>
  <c r="M42" i="19"/>
  <c r="Y12" i="19"/>
  <c r="AE52" i="19"/>
  <c r="AK22" i="19"/>
  <c r="S42" i="19"/>
  <c r="AC42" i="1"/>
  <c r="AD44" i="1"/>
  <c r="AC44" i="1"/>
  <c r="AD43" i="1"/>
  <c r="AC43" i="1"/>
  <c r="AC35" i="1"/>
  <c r="AD3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E22" i="1"/>
  <c r="AD14" i="1"/>
  <c r="AC14" i="1"/>
  <c r="R40" i="19"/>
  <c r="AD10" i="19"/>
  <c r="X40" i="19"/>
  <c r="AJ10" i="19"/>
  <c r="R50" i="19"/>
  <c r="X10" i="19"/>
  <c r="R30" i="19"/>
  <c r="AE35" i="1"/>
  <c r="L10" i="19"/>
  <c r="L50" i="19"/>
  <c r="AJ20" i="19"/>
  <c r="AJ40" i="19"/>
  <c r="AD30" i="19"/>
  <c r="R20" i="19"/>
  <c r="AD50" i="19"/>
  <c r="AJ30" i="19"/>
  <c r="AJ50" i="19"/>
  <c r="X30" i="19"/>
  <c r="AD20" i="19"/>
  <c r="L40" i="19"/>
  <c r="X50" i="19"/>
  <c r="X20" i="19"/>
  <c r="AD40" i="19"/>
  <c r="R10" i="19"/>
  <c r="L30" i="19"/>
  <c r="L20" i="19"/>
  <c r="AC54" i="1"/>
  <c r="AD55" i="1"/>
  <c r="AC67" i="1"/>
  <c r="AD68" i="1"/>
  <c r="AC68" i="1"/>
  <c r="AD47" i="19"/>
  <c r="AJ27" i="19"/>
  <c r="AD27" i="19"/>
  <c r="AJ7" i="19"/>
  <c r="AJ37" i="19"/>
  <c r="L27" i="19"/>
  <c r="AD17" i="19"/>
  <c r="L37" i="19"/>
  <c r="R17" i="19"/>
  <c r="AJ17" i="19"/>
  <c r="X7" i="19"/>
  <c r="X47" i="19"/>
  <c r="L7" i="19"/>
  <c r="L17" i="19"/>
  <c r="R27" i="19"/>
  <c r="X27" i="19"/>
  <c r="R7" i="19"/>
  <c r="X17" i="19"/>
  <c r="AJ47" i="19"/>
  <c r="L47" i="19"/>
  <c r="R37" i="19"/>
  <c r="AD7" i="19"/>
  <c r="X37" i="19"/>
  <c r="AE17" i="1"/>
  <c r="R47" i="19"/>
  <c r="AD37" i="19"/>
  <c r="AD25" i="1"/>
  <c r="AC25" i="1"/>
  <c r="AC24" i="1"/>
  <c r="AD26" i="1"/>
  <c r="AC26" i="1"/>
  <c r="AJ43" i="19"/>
  <c r="AD33" i="19"/>
  <c r="X33" i="19"/>
  <c r="X13" i="19"/>
  <c r="AD43" i="19"/>
  <c r="L43" i="19"/>
  <c r="AE53" i="1"/>
  <c r="X23" i="19"/>
  <c r="R33" i="19"/>
  <c r="R43" i="19"/>
  <c r="AD53" i="19"/>
  <c r="AJ13" i="19"/>
  <c r="R23" i="19"/>
  <c r="R13" i="19"/>
  <c r="AJ53" i="19"/>
  <c r="L33" i="19"/>
  <c r="L23" i="19"/>
  <c r="X43" i="19"/>
  <c r="X53" i="19"/>
  <c r="AD13" i="19"/>
  <c r="L53" i="19"/>
  <c r="L13" i="19"/>
  <c r="AD23" i="19"/>
  <c r="AJ33" i="19"/>
  <c r="AJ23" i="19"/>
  <c r="R53" i="19"/>
  <c r="AC18" i="1"/>
  <c r="AD19" i="1"/>
  <c r="M55" i="19"/>
  <c r="AK15" i="19"/>
  <c r="AE25" i="19"/>
  <c r="AE66"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E23"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E43"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E44" i="1"/>
  <c r="AG11" i="19"/>
  <c r="AM41" i="19"/>
  <c r="AA21" i="19"/>
  <c r="AA51" i="19"/>
  <c r="U51" i="19"/>
  <c r="U31" i="19"/>
  <c r="AA11" i="19"/>
  <c r="AG21" i="19"/>
  <c r="O31" i="19"/>
  <c r="AC60" i="1"/>
  <c r="AD61" i="1"/>
  <c r="AC30" i="1"/>
  <c r="AD31" i="1"/>
  <c r="AC31" i="1"/>
  <c r="AD32" i="1"/>
  <c r="AC32"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C36" i="1"/>
  <c r="AD37" i="1"/>
  <c r="AE11" i="19"/>
  <c r="Y41" i="19"/>
  <c r="M41" i="19"/>
  <c r="Y21" i="19"/>
  <c r="AK41" i="19"/>
  <c r="S31" i="19"/>
  <c r="M31" i="19"/>
  <c r="M51" i="19"/>
  <c r="Y51" i="19"/>
  <c r="AK21" i="19"/>
  <c r="AK31" i="19"/>
  <c r="Y11" i="19"/>
  <c r="AE41" i="19"/>
  <c r="AE21" i="19"/>
  <c r="S51" i="19"/>
  <c r="AE51" i="19"/>
  <c r="AK51" i="19"/>
  <c r="M21" i="19"/>
  <c r="AE31" i="19"/>
  <c r="AE42" i="1"/>
  <c r="S41" i="19"/>
  <c r="AK11" i="19"/>
  <c r="S11" i="19"/>
  <c r="Y31" i="19"/>
  <c r="S21" i="19"/>
  <c r="M11" i="19"/>
  <c r="L54" i="19"/>
  <c r="AJ14" i="19"/>
  <c r="AD44" i="19"/>
  <c r="X54" i="19"/>
  <c r="R14" i="19"/>
  <c r="AD24" i="19"/>
  <c r="AD34" i="19"/>
  <c r="R54" i="19"/>
  <c r="L34" i="19"/>
  <c r="AJ34" i="19"/>
  <c r="X24" i="19"/>
  <c r="AJ24" i="19"/>
  <c r="X44" i="19"/>
  <c r="R24" i="19"/>
  <c r="AE59" i="1"/>
  <c r="X34" i="19"/>
  <c r="L14" i="19"/>
  <c r="AD14" i="19"/>
  <c r="L44" i="19"/>
  <c r="R44" i="19"/>
  <c r="AD54" i="19"/>
  <c r="X14" i="19"/>
  <c r="AJ44" i="19"/>
  <c r="R34" i="19"/>
  <c r="AJ54" i="19"/>
  <c r="L24" i="19"/>
  <c r="AD29" i="19"/>
  <c r="AD19" i="19"/>
  <c r="R39" i="19"/>
  <c r="R9" i="19"/>
  <c r="X49" i="19"/>
  <c r="X9" i="19"/>
  <c r="AD39" i="19"/>
  <c r="R29" i="19"/>
  <c r="L49" i="19"/>
  <c r="X19" i="19"/>
  <c r="X29" i="19"/>
  <c r="X39" i="19"/>
  <c r="L9" i="19"/>
  <c r="AE29" i="1"/>
  <c r="AD9" i="19"/>
  <c r="AJ49" i="19"/>
  <c r="L39" i="19"/>
  <c r="R19" i="19"/>
  <c r="AJ39" i="19"/>
  <c r="AJ29" i="19"/>
  <c r="AJ19" i="19"/>
  <c r="AJ9" i="19"/>
  <c r="AD49" i="19"/>
  <c r="L19" i="19"/>
  <c r="L29" i="19"/>
  <c r="R49" i="19"/>
  <c r="AC37" i="1"/>
  <c r="AD38" i="1"/>
  <c r="AC38" i="1"/>
  <c r="AG39" i="19"/>
  <c r="AG29" i="19"/>
  <c r="AM19" i="19"/>
  <c r="O39" i="19"/>
  <c r="AE32"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60" i="1"/>
  <c r="AE24" i="19"/>
  <c r="S14" i="19"/>
  <c r="AK17" i="19"/>
  <c r="S27" i="19"/>
  <c r="S37" i="19"/>
  <c r="AE27" i="19"/>
  <c r="Y47" i="19"/>
  <c r="S7" i="19"/>
  <c r="M17" i="19"/>
  <c r="AE17" i="19"/>
  <c r="AK27" i="19"/>
  <c r="Y7" i="19"/>
  <c r="Y37" i="19"/>
  <c r="AE37" i="19"/>
  <c r="Y27" i="19"/>
  <c r="M47" i="19"/>
  <c r="AE18"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4" i="1"/>
  <c r="AE28" i="19"/>
  <c r="AA55" i="19"/>
  <c r="O45" i="19"/>
  <c r="AA15" i="19"/>
  <c r="AM55" i="19"/>
  <c r="O55" i="19"/>
  <c r="AG35" i="19"/>
  <c r="AM25" i="19"/>
  <c r="AM35" i="19"/>
  <c r="AA25" i="19"/>
  <c r="AM45" i="19"/>
  <c r="AG25" i="19"/>
  <c r="AA35" i="19"/>
  <c r="O25" i="19"/>
  <c r="U25" i="19"/>
  <c r="AG45" i="19"/>
  <c r="U35" i="19"/>
  <c r="AA45" i="19"/>
  <c r="AM15" i="19"/>
  <c r="U45" i="19"/>
  <c r="O35" i="19"/>
  <c r="O15" i="19"/>
  <c r="AE68" i="1"/>
  <c r="AG15" i="19"/>
  <c r="U15" i="19"/>
  <c r="AG55" i="19"/>
  <c r="U55" i="19"/>
  <c r="AE40" i="19"/>
  <c r="Y30" i="19"/>
  <c r="M20" i="19"/>
  <c r="AE36"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E31" i="1"/>
  <c r="T19" i="19"/>
  <c r="AL49" i="19"/>
  <c r="T29" i="19"/>
  <c r="AF29" i="19"/>
  <c r="T18" i="19"/>
  <c r="N48" i="19"/>
  <c r="N8" i="19"/>
  <c r="T28" i="19"/>
  <c r="AF38" i="19"/>
  <c r="Z28" i="19"/>
  <c r="Z18" i="19"/>
  <c r="AF8" i="19"/>
  <c r="AE25"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E67"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E30" i="1"/>
  <c r="M9" i="19"/>
  <c r="Y29" i="19"/>
  <c r="AC55" i="1"/>
  <c r="AD56" i="1"/>
  <c r="AC56" i="1"/>
  <c r="AM46" i="19"/>
  <c r="U36" i="19"/>
  <c r="AG16" i="19"/>
  <c r="O6" i="19"/>
  <c r="AA36" i="19"/>
  <c r="AM16" i="19"/>
  <c r="U6" i="19"/>
  <c r="AG46" i="19"/>
  <c r="AA16" i="19"/>
  <c r="AE14" i="1"/>
  <c r="AA6" i="19"/>
  <c r="AG6" i="19"/>
  <c r="AA46" i="19"/>
  <c r="AM26" i="19"/>
  <c r="U16" i="19"/>
  <c r="O36" i="19"/>
  <c r="U26" i="19"/>
  <c r="O46" i="19"/>
  <c r="AA26" i="19"/>
  <c r="AM6" i="19"/>
  <c r="U46" i="19"/>
  <c r="AG26" i="19"/>
  <c r="O16" i="19"/>
  <c r="AG36" i="19"/>
  <c r="O26" i="19"/>
  <c r="AM36" i="19"/>
  <c r="AC61" i="1"/>
  <c r="AD62" i="1"/>
  <c r="AC62" i="1"/>
  <c r="AD20" i="1"/>
  <c r="AC20" i="1"/>
  <c r="AC19" i="1"/>
  <c r="O8" i="19"/>
  <c r="AA48" i="19"/>
  <c r="AM38" i="19"/>
  <c r="U48" i="19"/>
  <c r="AA18" i="19"/>
  <c r="AG18" i="19"/>
  <c r="AG48" i="19"/>
  <c r="AM18" i="19"/>
  <c r="AA28" i="19"/>
  <c r="AG28" i="19"/>
  <c r="AA8" i="19"/>
  <c r="U18" i="19"/>
  <c r="AG38" i="19"/>
  <c r="U38" i="19"/>
  <c r="AM8" i="19"/>
  <c r="AA38" i="19"/>
  <c r="AM48" i="19"/>
  <c r="U28" i="19"/>
  <c r="O38" i="19"/>
  <c r="U8" i="19"/>
  <c r="AG8" i="19"/>
  <c r="AE26"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E54"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E62" i="1"/>
  <c r="AA14" i="19"/>
  <c r="O54" i="19"/>
  <c r="U44" i="19"/>
  <c r="U43" i="19"/>
  <c r="U13" i="19"/>
  <c r="AM53" i="19"/>
  <c r="AA53" i="19"/>
  <c r="AA43" i="19"/>
  <c r="O53" i="19"/>
  <c r="O23" i="19"/>
  <c r="O13" i="19"/>
  <c r="AG43" i="19"/>
  <c r="U33" i="19"/>
  <c r="U23" i="19"/>
  <c r="AM13" i="19"/>
  <c r="AM23" i="19"/>
  <c r="AG13" i="19"/>
  <c r="AA23" i="19"/>
  <c r="AG33" i="19"/>
  <c r="AA33" i="19"/>
  <c r="AM33" i="19"/>
  <c r="AA13" i="19"/>
  <c r="AE56"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E61" i="1"/>
  <c r="AF53" i="19"/>
  <c r="T43" i="19"/>
  <c r="Z53" i="19"/>
  <c r="N43" i="19"/>
  <c r="T23" i="19"/>
  <c r="AF43" i="19"/>
  <c r="Z13" i="19"/>
  <c r="Z43" i="19"/>
  <c r="AF23" i="19"/>
  <c r="AL13" i="19"/>
  <c r="Z23" i="19"/>
  <c r="AL43" i="19"/>
  <c r="AF13" i="19"/>
  <c r="AL23" i="19"/>
  <c r="N13" i="19"/>
  <c r="T33" i="19"/>
  <c r="AL53" i="19"/>
  <c r="N23" i="19"/>
  <c r="N53" i="19"/>
  <c r="AF33" i="19"/>
  <c r="N33" i="19"/>
  <c r="AE55" i="1"/>
  <c r="T53" i="19"/>
  <c r="AL33" i="19"/>
  <c r="T13" i="19"/>
  <c r="Z33" i="19"/>
  <c r="Z47" i="19"/>
  <c r="T7" i="19"/>
  <c r="AL37" i="19"/>
  <c r="T17" i="19"/>
  <c r="Z17" i="19"/>
  <c r="AF7" i="19"/>
  <c r="AF37" i="19"/>
  <c r="N17" i="19"/>
  <c r="AF27" i="19"/>
  <c r="AE19"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E38"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E20" i="1"/>
  <c r="AA17" i="19"/>
  <c r="O7" i="19"/>
  <c r="AA37" i="19"/>
  <c r="AA27" i="19"/>
  <c r="AM27" i="19"/>
  <c r="U17" i="19"/>
  <c r="U47" i="19"/>
  <c r="AG17" i="19"/>
  <c r="O47" i="19"/>
  <c r="Z40" i="19"/>
  <c r="AE37"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<sst xmlns="http://schemas.openxmlformats.org/spreadsheetml/2006/main" count="446" uniqueCount="258">
  <si>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</si>
  <si>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</si>
  <si>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</si>
  <si>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</si>
  <si>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</si>
  <si>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</si>
  <si>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</si>
  <si>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</si>
  <si>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</si>
  <si>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</si>
  <si>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</si>
  <si>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</si>
  <si>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</si>
  <si>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</si>
  <si>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</si>
  <si>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</si>
  <si>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</si>
  <si>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</si>
  <si>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</si>
  <si>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</si>
  <si>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</si>
  <si>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</si>
  <si>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</si>
  <si>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</si>
  <si>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</si>
  <si>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</si>
  <si>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</si>
  <si>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</si>
  <si>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</si>
  <si>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</si>
  <si>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</si>
  <si>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</si>
  <si>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</si>
  <si>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</si>
  <si>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</si>
  <si>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</si>
  <si>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</si>
  <si>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</si>
  <si>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</si>
  <si>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</si>
  <si>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</si>
  <si>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</si>
  <si>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</si>
  <si>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</si>
  <si>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</si>
  <si>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</si>
  <si>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</si>
  <si>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</si>
  <si>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</si>
  <si>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</si>
  <si>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</si>
  <si>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</si>
  <si>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</si>
  <si>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</si>
  <si>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</si>
  <si>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</si>
  <si>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</si>
  <si>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</si>
  <si>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</si>
  <si>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</si>
  <si>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</si>
  <si>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</si>
  <si>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</si>
  <si>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</si>
  <si>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</si>
  <si>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</si>
  <si>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</si>
  <si>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</si>
  <si>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</si>
  <si>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</si>
  <si>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</si>
  <si>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</si>
  <si>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</si>
  <si>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</si>
  <si>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</si>
  <si>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</si>
  <si>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</si>
  <si>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</si>
  <si>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</si>
  <si>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</si>
  <si>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</si>
  <si>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</si>
  <si>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</si>
  <si>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</si>
  <si>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</si>
  <si>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</si>
  <si>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</si>
  <si>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</si>
  <si>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</si>
  <si>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</si>
  <si>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</si>
  <si>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</si>
  <si>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</si>
  <si>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</si>
  <si>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</si>
  <si>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</si>
  <si>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</si>
  <si>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</si>
  <si>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</si>
  <si>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</si>
  <si>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</si>
  <si>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</si>
  <si>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</si>
  <si>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</si>
  <si>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</si>
  <si>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</si>
  <si>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</si>
  <si>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</si>
  <si>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</si>
  <si>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</si>
  <si>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</si>
  <si>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</si>
  <si>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</si>
  <si>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</si>
  <si>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</si>
  <si>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</si>
  <si>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</si>
  <si>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</si>
  <si>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</si>
  <si>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</si>
  <si>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</si>
  <si>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</si>
  <si>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</si>
  <si>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</si>
  <si>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</si>
  <si>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</si>
  <si>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</si>
  <si>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</si>
  <si>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</si>
  <si>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</si>
  <si>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</si>
  <si>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</si>
  <si>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</si>
  <si>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</si>
  <si>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</si>
  <si>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</si>
  <si>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</si>
  <si>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</si>
  <si>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</si>
  <si>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</si>
  <si>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</si>
  <si>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</si>
  <si>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</si>
  <si>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</si>
  <si>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</si>
  <si>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</si>
  <si>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</si>
  <si>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</si>
  <si>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</si>
  <si>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</si>
  <si>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</si>
  <si>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</si>
  <si>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</si>
  <si>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</si>
  <si>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</si>
  <si>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</si>
  <si>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</si>
  <si>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</si>
  <si>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</si>
  <si>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</si>
  <si>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</si>
  <si>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</si>
  <si>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</si>
  <si>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</si>
  <si>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</si>
  <si>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</si>
  <si>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</si>
  <si>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</si>
  <si>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</si>
  <si>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</si>
  <si>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</si>
  <si>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</si>
  <si>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</si>
  <si>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</si>
  <si>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</si>
  <si>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</si>
  <si>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</si>
  <si>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</si>
  <si>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</si>
  <si>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</si>
  <si>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</si>
  <si>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</si>
  <si>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</si>
  <si>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</si>
  <si>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</si>
  <si>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</si>
  <si>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Una matriz de riesgos, es una herramienta, útil, que permite identificar los riesgos a los que se está expuesto. De esta manera, se pueden determinar los niveles aceptables de exposición a aquellos, así como establecer el control apropiado frente a los mismos y monitorear la efectividad del método de control elegido. Físicamente, es una guía visual que permite, mediante su diseño, una rápida identificación de las prioridades que deben ser atendidas para así acelerar la toma de decisiones.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</si>
  <si>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6" tint="-0.249977111117893"/>
        <rFont val="Arial Narrow"/>
        <family val="2"/>
      </rPr>
      <t>Paso 2: identificación del riesgo</t>
    </r>
    <r>
      <rPr>
        <sz val="11"/>
        <color theme="6" tint="-0.249977111117893"/>
        <rFont val="Arial Narrow"/>
        <family val="2"/>
      </rPr>
      <t>,</t>
    </r>
    <r>
      <rPr>
        <sz val="11"/>
        <rFont val="Arial Narrow"/>
        <family val="2"/>
      </rPr>
      <t xml:space="preserve"> donde se explica ampliamente las bases para adelanter este análisis.
Así mismo, considere en el </t>
    </r>
    <r>
      <rPr>
        <b/>
        <sz val="11"/>
        <color theme="6"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6"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</si>
  <si>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</si>
  <si>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</si>
  <si>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Objetivo Estratégico</t>
  </si>
  <si>
    <t>Contexto Estrategico Interno - Enterno - Proceso</t>
  </si>
  <si>
    <r>
      <t>Utilice la lista de despligue que se encuentra parametrizada, le aparecerán las opciones:</t>
    </r>
    <r>
      <rPr>
        <b/>
        <sz val="9"/>
        <rFont val="Arial Narrow"/>
        <family val="2"/>
      </rPr>
      <t xml:space="preserve"> i)Estratégicos ii) Imagen iii) Operativos iv)Financieros v)Legal o de Cumplimiento vi) Tecnológicos vii) Fraude viii) Corrupción ix) Imparcialidad x) Confidencialidad xi) Seguridad de la información </t>
    </r>
  </si>
  <si>
    <t xml:space="preserve">Causa </t>
  </si>
  <si>
    <t>Corresponde a las razones por la cuales se puede presentar  el riesgo, redacte de la forma más concreta posible.</t>
  </si>
  <si>
    <r>
      <t xml:space="preserve">Analice las consecuencias que puede ocasionar a la organización la materialización del riesgo. El riesgo se puede clasificar en: Un </t>
    </r>
    <r>
      <rPr>
        <b/>
        <sz val="9"/>
        <rFont val="Arial Narrow"/>
        <family val="2"/>
      </rPr>
      <t>riesgo negativo</t>
    </r>
    <r>
      <rPr>
        <sz val="9"/>
        <rFont val="Arial Narrow"/>
        <family val="2"/>
      </rPr>
      <t xml:space="preserve"> es una amenaza, y cuando ocurre, se transforma en un problema. No obstante, un</t>
    </r>
    <r>
      <rPr>
        <b/>
        <sz val="9"/>
        <rFont val="Arial Narrow"/>
        <family val="2"/>
      </rPr>
      <t xml:space="preserve"> riesgo puede ser positivo</t>
    </r>
    <r>
      <rPr>
        <sz val="9"/>
        <rFont val="Arial Narrow"/>
        <family val="2"/>
      </rPr>
      <t xml:space="preserve"> al proporcionar una solución.</t>
    </r>
    <r>
      <rPr>
        <b/>
        <sz val="9"/>
        <rFont val="Arial Narrow"/>
        <family val="2"/>
      </rPr>
      <t xml:space="preserve"> </t>
    </r>
  </si>
  <si>
    <t xml:space="preserve">Permite definir unl consecutivo de riesgos.
Una entidad puede ir en el riesgo 150, pero tener 70 riesgos, lo que permite llevar una traza de los riesgos. Esta información la debe administrar la oficina  Subdireción de planeación o calidad .  Cuando un  riesgo salga del mapa no existirá otro riesgo con el mismo número. </t>
  </si>
  <si>
    <t>Identificar los Objetivo estrategico a cual afecta directamente el Riesgo</t>
  </si>
  <si>
    <t xml:space="preserve"> Descripción del Riesgo</t>
  </si>
  <si>
    <t>Riesgo</t>
  </si>
  <si>
    <t xml:space="preserve">Describir la amenaza que pueda materializarce  y afectar de manera Negativa o Positivamente su proceso </t>
  </si>
  <si>
    <t>Impacto o Consecuencia</t>
  </si>
  <si>
    <t>Contexto Estrategico Interno - Externo - Proceso</t>
  </si>
  <si>
    <r>
      <t xml:space="preserve">Identificar el contexto estrategico con el cual se relaciona directamente el riesgo. </t>
    </r>
    <r>
      <rPr>
        <b/>
        <sz val="9"/>
        <rFont val="Arial Narrow"/>
        <family val="2"/>
      </rPr>
      <t xml:space="preserve">Interno;  Externo; Proceso </t>
    </r>
    <r>
      <rPr>
        <sz val="9"/>
        <rFont val="Arial Narrow"/>
        <family val="2"/>
      </rPr>
      <t xml:space="preserve"> </t>
    </r>
  </si>
  <si>
    <r>
      <t>Defina el # de veces que se puede materializar el riesgo durante el año, (Recuerde la probabilidad u ocurrencia del riesgo se defien como el No. de veces que se pasa por el punto de riesgo en el periodo de 1 año). La matriz automáticamente hará el cálculo para el nivel de probabilidad inherente</t>
    </r>
    <r>
      <rPr>
        <sz val="9"/>
        <color theme="1"/>
        <rFont val="Arial Narrow"/>
        <family val="2"/>
      </rPr>
      <t xml:space="preserve"> (Columnas J-K)</t>
    </r>
  </si>
  <si>
    <r>
      <t>Utilice la lista de despligue que se encuentra parametrizada, le aparecerán las opciones de la tabla de Impacto en la Hoja 6 del presente documento. La matriz automáticamente hará el cálculo para el nivel de impacto inherente</t>
    </r>
    <r>
      <rPr>
        <sz val="9"/>
        <color theme="1"/>
        <rFont val="Arial Narrow"/>
        <family val="2"/>
      </rPr>
      <t xml:space="preserve"> (Columnas N-O)</t>
    </r>
  </si>
  <si>
    <r>
      <t xml:space="preserve">Teniendo en cuenta que ingresó la información de PROBABILIDAD e IMPACTO, la matriz automáticamente hará el cálculo para la zona de riesgo inherente </t>
    </r>
    <r>
      <rPr>
        <sz val="9"/>
        <color theme="1"/>
        <rFont val="Arial Narrow"/>
        <family val="2"/>
      </rPr>
      <t>(Columna P)</t>
    </r>
  </si>
  <si>
    <r>
      <t xml:space="preserve">Esta casilla no se diligencia, depende de la selección en la </t>
    </r>
    <r>
      <rPr>
        <sz val="9"/>
        <color theme="1"/>
        <rFont val="Arial Narrow"/>
        <family val="2"/>
      </rPr>
      <t>columna S.</t>
    </r>
  </si>
  <si>
    <r>
      <t>La matriz automáticamente hará el cálculo para el control analizado</t>
    </r>
    <r>
      <rPr>
        <sz val="9"/>
        <color rgb="FFFF0000"/>
        <rFont val="Arial Narrow"/>
        <family val="2"/>
      </rPr>
      <t xml:space="preserve"> </t>
    </r>
    <r>
      <rPr>
        <sz val="9"/>
        <color theme="1"/>
        <rFont val="Arial Narrow"/>
        <family val="2"/>
      </rPr>
      <t xml:space="preserve">(Columna V) </t>
    </r>
  </si>
  <si>
    <r>
      <t>La matriz automáticamente hará el cálculo, acorde con el control o controles definidos con sus atributos analizados, lo que permitirá establecer el</t>
    </r>
    <r>
      <rPr>
        <b/>
        <sz val="9"/>
        <rFont val="Arial Narrow"/>
        <family val="2"/>
      </rPr>
      <t xml:space="preserve"> nivel de riesgo inherente</t>
    </r>
    <r>
      <rPr>
        <sz val="9"/>
        <color theme="1"/>
        <rFont val="Arial Narrow"/>
        <family val="2"/>
      </rPr>
      <t xml:space="preserve"> (Columnas AA -AB- AC-AD-AE).</t>
    </r>
  </si>
  <si>
    <t>Negativo (Amenaza)</t>
  </si>
  <si>
    <t>Proceso: Gestion JURIDICA</t>
  </si>
  <si>
    <r>
      <t>Objetivo:</t>
    </r>
    <r>
      <rPr>
        <sz val="10"/>
        <rFont val="Arial Narrow"/>
        <family val="2"/>
      </rPr>
      <t>Asesorar a la Dirección general de la Entidad sobre el proceso y desempeño de la Oficina Jurídica, asumir la defensa técnica y judicial , atender las solicitudes, peticiones, denuncias, pqrs, conceptuar y elaborar los procesos de contratación en sus etapas precontractuales, contractuales y post contractuales.</t>
    </r>
  </si>
  <si>
    <r>
      <t>Alcance:</t>
    </r>
    <r>
      <rPr>
        <sz val="10"/>
        <rFont val="Arial Narrow"/>
        <family val="2"/>
      </rPr>
      <t>Inicia desde la solicitud y/o necesidad del servicio que da origen a una asesorìa jurìdica, la respuesta a un PQRSD, una demanda judicial y/o un proceso contractual, que permiten materializar el objeto misional de la Entidad, y culmina con  los conceptos jurìdicos, la respuesta a las PQRSD, la resoluciòn de una demanda judicial y la liquidaciòn de un proceso contractual.</t>
    </r>
  </si>
  <si>
    <t>Posibilidad de afectación reputacional por investigaciones administrativas, fiscales y judiciales,asi como,requerimientos de los usuarios debido a la expedición de actos administrativos fuera de los requisitos legales y procedimentales establecidos en la normatividad.</t>
  </si>
  <si>
    <t xml:space="preserve">Financieros: ejecución financiera de los contratos, 
Procesos: deficiente supervisión, Desconocimiento de los procesos y procedimientos, desactualización de documentos.
Tecnología:  Deficientes equipos tecnológicos como equipos, escanear, impresoras.
EXTERNO
Económicos: Disminución del presupuesto por prioridades del Gobierno, Austeridad en el gasto.
Pandemia: disminución de ingresos, lo que no pudo cumplir con la contratación.
Políticos: Cambio de gobierno con nuevos planes y proyectos de Desarrollo, Falta de continuidad en los programas establecidos.
Sociales: constantes marchas y paros en el centro de la ciudad. Seguridad 
Comunicación Externa: Múltiples canales e interlocutores de la Entidad con los usuarios.
lEgal: Cambios legales y normativos aplicables a la Entidad y a los procesos, transición a SECOP II
Interacciones con otros procesos: Relación precisa con otros procesos en cuanto a insumos, proveedores, productos, usuarios o clientes, banco de proyectos.
Transversalidad: lineamientos necesarios para el desarrollo de todos los procesos de la entidad.
Comunicación entre los procesos: Efectividad en los flujos de información determinados en la interacción de los procesos, para estudios previos, estudio de mercado, </t>
  </si>
  <si>
    <t>expedición de actos administrativos fuera de los requisitos legales y procedimentales establecidos en la normatividad</t>
  </si>
  <si>
    <t>Cumplimiento</t>
  </si>
  <si>
    <t>Posibilidad de afectación reputacional debido a la expedición de actos administrativos fuera de los requisitos legales y procedimentales establecidos en la normatividad.</t>
  </si>
  <si>
    <t>Revisiòn de los proyectos de actos administrativos  que son proyectados o revisados por los profesionales   con el fin de que cumplan los requisitos establecidos en la Norma,;los actos administrativos de caracter general seran publicados en la Pagina web</t>
  </si>
  <si>
    <t>Realiza permanentemente la publicacion de  los acto administrativo para observaciones, opiniones o sugerencias,en la pagina web de la entidad donde queda el registro correspondiente de la Publicacion.</t>
  </si>
  <si>
    <t>Jefe de la oficina Jurídica</t>
  </si>
  <si>
    <t xml:space="preserve"> Realizar listas de revisiones reducir la
posibilidad de expedicion de actos administrativos sin el cumplimiento de los requisitos normativos.</t>
  </si>
  <si>
    <t>Posibilidad de que se realice un ejercicio
indebido e inoportuno de la defensa
Judicial, realizando una argumentación
insuficiente y debil, por falencias en el
seguimiento, monitoreo y control a los
actuaciones llevadas a cabo por los
apoderados de la UNP dentro de los
procesos judiciales a su cargo</t>
  </si>
  <si>
    <t>Posibilidad de afectacion ecomica y reputacional debido a la gestion deficiente  del proceso administrativo y de defensa judicial fuera de los terminos legales establecidos.</t>
  </si>
  <si>
    <t>inadecuada gestion del proceso administrativo y de defensa
Debilidad en las herramientas de
monitoreo y control que pueden
generar una inoportuna
indebida defensa por parte de los
apoderados dentro  de los procesos
judiciales a su  cargo</t>
  </si>
  <si>
    <t xml:space="preserve">Analiza,evalua y realiza seguimiento a la gestion de defensa y los procesos activos,a traves de bases de datos y registros de procesos </t>
  </si>
  <si>
    <t>El comité de conciliacion realizaran seguimiento trimestral  a las politicas de prevencion del daño antijurico a traves de los informes que presenta las areas .</t>
  </si>
  <si>
    <t>envian alertas semanales con las fechas de
vencimiento de las actuaciones que los
abogados deben llevar a cabo, de aquellos
procesos que están bajo su cargo y que
estén proximos a vencerse.</t>
  </si>
  <si>
    <t xml:space="preserve"> realizar seguimiento permanente a la gestion adecuada de los procesos a cargo de los profesionales y jefe de oficina juridica</t>
  </si>
  <si>
    <t>Posibilidad de incumplimiento en las respuestas a las PQRSD en términos de ley, por inoportuna gestión, o por negligencia de los funcionarios asignados la respuesta, lo que impide realizar un seguimiento a los
requerimientos asignados por parte de los funcionarios y/o colaboradores.</t>
  </si>
  <si>
    <t>Posibilidad de incumplimiento en las respuestas a las PQRSD en términos de ley.</t>
  </si>
  <si>
    <t>Inoportuna asignación a los jefes y funcionarios o con respecto a los vencimientos de
las PQRSD que tienen bajo su cargo.</t>
  </si>
  <si>
    <t>la secretaria administradora  de las bases de datos
debera  enviar alertas semanales a través
de correo electrónico con las fechas de
vencimiento de los requerimientos a los tengan bajo su cargo y que se encuentren proximos a vencerse.</t>
  </si>
  <si>
    <t>realiza seguimiento a todas las PQRSD allegadas a la Oficina  Jurídica en el periodo y posteriormente se procede a la respectiva verificación de cada requerimiento</t>
  </si>
  <si>
    <t xml:space="preserve">Implementación de  seguimiento de PQRS  attraves de la pagina web </t>
  </si>
  <si>
    <t>Posibilidad de afectación reputacional , debido a la consecusión de contratos sin el lleno de los requisitos legales</t>
  </si>
  <si>
    <t>El profesional contratista de contratación verifica PERMANENTE, que la información suministrada por el posible proveedor o contratista, corresponda a los requisitos establecidos en el estudio previo y  la  norma aplicable según el proceso de seleccion empleado.
 Esta verificación se realiza  a través de la lista de chequeo y los requisitos habilitantes establecidos  en el pliego de condiciones, verificando los documentos a travez de las plataformas destinadas para tal fin. los contratos que cumplen los requisitos, continúan con el proceso contractual a traves de los sistemas de información de contratación (SECOP).</t>
  </si>
  <si>
    <t>El profesional    contratista  de contratacion   verifican  permanentemente en el sistema de información de contratación (SECOP)  y aprueba el proceso para firma del ordenador del gasto. 
En el sistema de información queda el registro correspondient; en caso de encontrar inconsistencias o no concordancias , devuelve el proceso al profesional de contratos asignado.</t>
  </si>
  <si>
    <t>Implementación de SECOP II</t>
  </si>
  <si>
    <t>Jefe de oficina Juridica</t>
  </si>
  <si>
    <t xml:space="preserve">Capacitación de SECOP  II   y Manual de supervisión </t>
  </si>
  <si>
    <t xml:space="preserve">Debilidad en los estudios previos y del sector
Inoprotuna entrega de la documentacion por parte de los proveedores y contratistas
Desarticulación entre la oficina financiera  y jurídica
deficiente revisión de los documentos
</t>
  </si>
  <si>
    <t>Fraude</t>
  </si>
  <si>
    <t>Posibilidad de afectación económica  y reputacional por multa y sanción del ente regulador,  debido a adquisición de bienes y servicios sin identificar la necesidad real</t>
  </si>
  <si>
    <t>debido a adquisición de bienes y servicios sin identificar la necesidad real.
Debilidades en la planeacion
debildiades en el Plan de adquisiciones 
deficiente identificación de las necesidades por parte de las dependencias</t>
  </si>
  <si>
    <t>Seguimiento al plan anual de adquisicines por parte de la oficina de planeacion</t>
  </si>
  <si>
    <t>El profesional de la Direccion de contratacion  verifica permanente que los estudios previos,prepliegos y pliegos de condiciones corresponda a la necesidad establecida por el area solicitante del contrato a traves de una lista de chequeo donde estan los requisitos de la informacion solicitada y la revisa con la informacion  digital aportada por el ordenador del gasto,una vez aprobados seran cargados en secop.</t>
  </si>
  <si>
    <t>Realizacion del Comité de contratación en la etapa precontractual,a fin de reducir la posibilidad de error  en  los procesos contractuales  y elevar la
productividad de los mismos.</t>
  </si>
  <si>
    <t xml:space="preserve">se realizaron capacitacion de SECOP  II  con Colombia compra eficiente sobre el manejo de la plataforma, creacion de procesos, 
Creacion de usuarios  para el cargue información que estan asociados a  alentidad, para la publcidade del proceso contractual que se produzca al interior.
se inicio a partir de julio de la vigencia 2021 por obligatoriedad.
</t>
  </si>
  <si>
    <t xml:space="preserve">se realizaron capacitacion de SECOP  II  con Colombia compra eficiente sobre el manejo de la plataforma, creacion de procesos, 
capacitacion Formacion de formadores  SECOP II  fecha de 24 al 30 de marzo de 2020
curso formacion de formadores 28  junio al 2 de julio de 2021  Colombia compra eficiente.
</t>
  </si>
  <si>
    <t xml:space="preserve">En la vigencia 2021 se realizaron 12 actas de reunion del comité de contratación mensual  relacionando la contratacion del mes y evaluacion de los contratos que se realizaran el mes siguiente,
Debaten los contratos por las diferentes modalidades de contratacion y el procedimiento </t>
  </si>
  <si>
    <t>Se implemento un sistema de información para el seguimiento de PQRSD mediante la Herramienta INDERDATA, esta se encuentra funcionando y es majada por la secretaria quien recepción las mismas mediante los medios disponibles para la atención al usuario</t>
  </si>
  <si>
    <t>se reviso la matriz de seguimiento de PQRSD , haciendo la estadisticas de las solicitudes enviadas or Clubes deortivos, solicitud de imlemeentacion deortiva, solicitud de apoyo de transporte, solicitud de habitos y clubes deportivos.</t>
  </si>
  <si>
    <t>traves del jefe juridico se revisan y dan visto bueno a los actos administrativos proyectados por las diferentes oficinas del instituto</t>
  </si>
  <si>
    <t>se verifica que se encuentren debidadamente soportados legalmente</t>
  </si>
  <si>
    <t>Se lleva un cuadro de procesos y su estado y el seguimiento que se hace agtraves del comité de conciliaciones</t>
  </si>
  <si>
    <t>atraves del comité de conciliacion dos mensuales y semestral donde se realiza seguimiento   a los procesos judiciales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</si>
</sst>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11"/>
      <color theme="6" tint="-0.249977111117893"/>
      <name val="Arial Narrow"/>
      <family val="2"/>
    </font>
    <font>
      <sz val="11"/>
      <color theme="6" tint="-0.249977111117893"/>
      <name val="Arial Narrow"/>
      <family val="2"/>
    </font>
    <font>
      <b/>
      <sz val="10"/>
      <color theme="6" tint="-0.249977111117893"/>
      <name val="Arial Narrow"/>
      <family val="2"/>
    </font>
    <font>
      <sz val="9"/>
      <color rgb="FFFF0000"/>
      <name val="Arial Narrow"/>
      <family val="2"/>
    </font>
    <font>
      <sz val="10"/>
      <color rgb="FFFF0000"/>
      <name val="Arial Narrow"/>
      <family val="2"/>
    </font>
    <font>
      <sz val="9"/>
      <color theme="1"/>
      <name val="Arial Narrow"/>
      <family val="2"/>
    </font>
    <font>
      <sz val="8"/>
      <name val="Calibri"/>
      <family val="2"/>
      <scheme val="minor"/>
    </font>
    <font>
      <sz val="22"/>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39997558519241921"/>
        <bgColor indexed="64"/>
      </patternFill>
    </fill>
  </fills>
  <borders count="70">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diagonal/>
    </border>
    <border>
      <left style="hair">
        <color theme="6" tint="-0.249977111117893"/>
      </left>
      <right style="hair">
        <color theme="6" tint="-0.249977111117893"/>
      </right>
      <top/>
      <bottom style="hair">
        <color theme="6" tint="-0.249977111117893"/>
      </bottom>
      <diagonal/>
    </border>
    <border>
      <left style="hair">
        <color theme="6" tint="-0.249977111117893"/>
      </left>
      <right style="hair">
        <color theme="6" tint="-0.249977111117893"/>
      </right>
      <top/>
      <bottom/>
      <diagonal/>
    </border>
    <border>
      <left/>
      <right style="hair">
        <color theme="6" tint="-0.249977111117893"/>
      </right>
      <top style="hair">
        <color theme="6" tint="-0.249977111117893"/>
      </top>
      <bottom style="hair">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s>
  <cellStyleXfs count="5">
    <xf numFmtId="0" fontId="0" fillId="0" borderId="0"/>
    <xf numFmtId="9" fontId="13" fillId="0" borderId="0" applyFont="0" applyFill="0" applyBorder="0" applyAlignment="0" applyProtection="0"/>
    <xf numFmtId="0" fontId="46" fillId="0" borderId="0"/>
    <xf numFmtId="0" fontId="47" fillId="0" borderId="0"/>
    <xf numFmtId="0" fontId="5" fillId="0" borderId="0"/>
  </cellStyleXfs>
  <cellXfs count="393">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1"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3" borderId="61" xfId="0" applyFont="1" applyFill="1" applyBorder="1"/>
    <xf numFmtId="0" fontId="1" fillId="0" borderId="61" xfId="0" applyFont="1" applyBorder="1"/>
    <xf numFmtId="0" fontId="4" fillId="3" borderId="61" xfId="0" applyFont="1" applyFill="1" applyBorder="1" applyAlignment="1">
      <alignment horizontal="center" vertical="center"/>
    </xf>
    <xf numFmtId="0" fontId="4" fillId="2"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6"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textRotation="90"/>
      <protection locked="0"/>
    </xf>
    <xf numFmtId="9" fontId="1" fillId="0" borderId="61" xfId="0" applyNumberFormat="1" applyFont="1" applyBorder="1" applyAlignment="1" applyProtection="1">
      <alignment horizontal="center" vertical="center"/>
      <protection hidden="1"/>
    </xf>
    <xf numFmtId="164" fontId="1" fillId="0" borderId="61" xfId="1" applyNumberFormat="1" applyFont="1" applyBorder="1" applyAlignment="1">
      <alignment horizontal="center" vertical="center"/>
    </xf>
    <xf numFmtId="0" fontId="4" fillId="0" borderId="61" xfId="0" applyFont="1" applyFill="1" applyBorder="1" applyAlignment="1" applyProtection="1">
      <alignment horizontal="center" vertical="center" textRotation="90" wrapText="1"/>
      <protection hidden="1"/>
    </xf>
    <xf numFmtId="0" fontId="4" fillId="0" borderId="61" xfId="0" applyFont="1" applyBorder="1" applyAlignment="1" applyProtection="1">
      <alignment horizontal="center" vertical="center" textRotation="90"/>
      <protection hidden="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14" fontId="1" fillId="0" borderId="61" xfId="0" applyNumberFormat="1" applyFont="1" applyBorder="1" applyAlignment="1" applyProtection="1">
      <alignment horizontal="center" vertical="center"/>
      <protection locked="0"/>
    </xf>
    <xf numFmtId="0" fontId="1" fillId="3" borderId="61" xfId="0" applyFont="1" applyFill="1" applyBorder="1" applyAlignment="1">
      <alignment vertical="center"/>
    </xf>
    <xf numFmtId="0" fontId="1" fillId="0" borderId="61" xfId="0" applyFont="1" applyBorder="1" applyAlignment="1">
      <alignment vertical="center"/>
    </xf>
    <xf numFmtId="0" fontId="1" fillId="0" borderId="61" xfId="0" applyFont="1" applyBorder="1" applyAlignment="1" applyProtection="1">
      <alignment horizontal="justify" vertical="center"/>
      <protection locked="0"/>
    </xf>
    <xf numFmtId="164" fontId="1" fillId="9" borderId="61" xfId="1" applyNumberFormat="1" applyFont="1" applyFill="1" applyBorder="1" applyAlignment="1">
      <alignment horizontal="center" vertical="center"/>
    </xf>
    <xf numFmtId="0" fontId="1" fillId="0" borderId="61" xfId="0" applyFont="1" applyBorder="1" applyAlignment="1">
      <alignment horizontal="center" vertical="center"/>
    </xf>
    <xf numFmtId="0" fontId="1" fillId="0" borderId="61" xfId="0" applyFont="1" applyBorder="1" applyAlignment="1">
      <alignment horizontal="center"/>
    </xf>
    <xf numFmtId="0" fontId="4" fillId="14" borderId="61" xfId="0" applyFont="1" applyFill="1" applyBorder="1" applyAlignment="1">
      <alignment horizontal="center" vertical="center" textRotation="90"/>
    </xf>
    <xf numFmtId="0" fontId="1" fillId="0" borderId="62" xfId="0" applyFont="1" applyBorder="1" applyAlignment="1">
      <alignment horizontal="center" vertical="center"/>
    </xf>
    <xf numFmtId="0" fontId="1" fillId="0" borderId="62" xfId="0" applyFont="1" applyBorder="1"/>
    <xf numFmtId="0" fontId="1" fillId="0" borderId="62" xfId="0" applyFont="1" applyBorder="1" applyAlignment="1">
      <alignment horizontal="center"/>
    </xf>
    <xf numFmtId="0" fontId="1" fillId="0" borderId="63" xfId="0" applyFont="1" applyBorder="1" applyAlignment="1">
      <alignment horizontal="center" vertical="center"/>
    </xf>
    <xf numFmtId="0" fontId="1" fillId="0" borderId="63" xfId="0" applyFont="1" applyBorder="1"/>
    <xf numFmtId="0" fontId="1" fillId="0" borderId="63" xfId="0" applyFont="1" applyBorder="1" applyAlignment="1">
      <alignment horizontal="center"/>
    </xf>
    <xf numFmtId="0" fontId="36" fillId="14" borderId="31" xfId="0" applyFont="1" applyFill="1" applyBorder="1" applyAlignment="1">
      <alignment horizontal="center" vertical="center" wrapText="1" readingOrder="1"/>
    </xf>
    <xf numFmtId="0" fontId="36" fillId="14" borderId="32" xfId="0" applyFont="1" applyFill="1" applyBorder="1" applyAlignment="1">
      <alignment horizontal="center" vertical="center" wrapText="1" readingOrder="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Continuous"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9" fillId="3" borderId="0" xfId="2" applyFont="1" applyFill="1" applyBorder="1" applyProtection="1"/>
    <xf numFmtId="0" fontId="59" fillId="3" borderId="0" xfId="2" applyFont="1" applyFill="1" applyBorder="1" applyAlignment="1" applyProtection="1">
      <alignment vertical="center"/>
    </xf>
    <xf numFmtId="0" fontId="1" fillId="0" borderId="61" xfId="0" applyFont="1" applyBorder="1" applyAlignment="1" applyProtection="1">
      <alignment horizontal="center" vertical="center" wrapText="1"/>
      <protection locked="0"/>
    </xf>
    <xf numFmtId="0" fontId="1" fillId="3" borderId="63" xfId="0" applyFont="1" applyFill="1" applyBorder="1" applyAlignment="1">
      <alignment horizontal="center" vertical="center"/>
    </xf>
    <xf numFmtId="0" fontId="1" fillId="3" borderId="63" xfId="0" applyFont="1" applyFill="1" applyBorder="1"/>
    <xf numFmtId="0" fontId="1" fillId="3" borderId="63" xfId="0" applyFont="1" applyFill="1" applyBorder="1" applyAlignment="1">
      <alignment horizontal="center"/>
    </xf>
    <xf numFmtId="0" fontId="1" fillId="3" borderId="65" xfId="0" applyFont="1" applyFill="1" applyBorder="1"/>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6" fillId="0" borderId="69" xfId="0" applyFont="1" applyBorder="1" applyAlignment="1" applyProtection="1">
      <alignment horizontal="justify" vertical="center" wrapText="1"/>
      <protection locked="0"/>
    </xf>
    <xf numFmtId="0" fontId="1" fillId="0" borderId="69" xfId="0" applyFont="1" applyBorder="1" applyAlignment="1" applyProtection="1">
      <alignment horizontal="justify" vertical="center"/>
      <protection locked="0"/>
    </xf>
    <xf numFmtId="0" fontId="1" fillId="0" borderId="69" xfId="0" applyFont="1" applyBorder="1" applyAlignment="1" applyProtection="1">
      <alignment horizontal="center" vertical="center" wrapText="1"/>
      <protection locked="0"/>
    </xf>
    <xf numFmtId="0" fontId="1" fillId="0" borderId="69" xfId="0" applyFont="1" applyBorder="1" applyAlignment="1" applyProtection="1">
      <alignment horizontal="center" vertical="center"/>
      <protection locked="0"/>
    </xf>
    <xf numFmtId="0" fontId="1" fillId="0" borderId="61" xfId="0" applyFont="1" applyBorder="1" applyAlignment="1" applyProtection="1">
      <alignment horizontal="left" vertical="center" wrapText="1"/>
      <protection locked="0"/>
    </xf>
    <xf numFmtId="0" fontId="1" fillId="0" borderId="69" xfId="0" applyFont="1" applyBorder="1" applyAlignment="1" applyProtection="1">
      <alignment horizontal="left" vertical="center" wrapText="1"/>
      <protection locked="0"/>
    </xf>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54" fillId="3" borderId="50" xfId="2" applyFont="1" applyFill="1" applyBorder="1" applyAlignment="1" applyProtection="1">
      <alignment horizontal="left" vertical="center" wrapText="1"/>
    </xf>
    <xf numFmtId="0" fontId="54" fillId="3" borderId="51" xfId="2" applyFont="1" applyFill="1" applyBorder="1" applyAlignment="1" applyProtection="1">
      <alignment horizontal="left"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center" wrapText="1" readingOrder="1"/>
    </xf>
    <xf numFmtId="0" fontId="53" fillId="3" borderId="58" xfId="3" applyFont="1" applyFill="1" applyBorder="1" applyAlignment="1" applyProtection="1">
      <alignment horizontal="left" vertical="center" wrapText="1" readingOrder="1"/>
    </xf>
    <xf numFmtId="0" fontId="4" fillId="0" borderId="61" xfId="0" applyFont="1" applyFill="1" applyBorder="1" applyAlignment="1" applyProtection="1">
      <alignment horizontal="center" vertical="center" wrapText="1"/>
      <protection hidden="1"/>
    </xf>
    <xf numFmtId="9" fontId="1" fillId="0" borderId="61" xfId="0" applyNumberFormat="1" applyFont="1" applyBorder="1" applyAlignment="1" applyProtection="1">
      <alignment horizontal="center" vertical="center" wrapText="1"/>
      <protection hidden="1"/>
    </xf>
    <xf numFmtId="0" fontId="4" fillId="0" borderId="61" xfId="0" applyFont="1" applyBorder="1" applyAlignment="1" applyProtection="1">
      <alignment horizontal="center" vertical="center"/>
      <protection hidden="1"/>
    </xf>
    <xf numFmtId="9" fontId="1" fillId="0" borderId="61" xfId="0" applyNumberFormat="1"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4" fillId="14" borderId="61" xfId="0" applyFont="1" applyFill="1" applyBorder="1" applyAlignment="1">
      <alignment horizontal="center" vertical="center"/>
    </xf>
    <xf numFmtId="0" fontId="1" fillId="0" borderId="62" xfId="0" applyFont="1" applyBorder="1" applyAlignment="1" applyProtection="1">
      <alignment horizontal="left" vertical="top" wrapText="1"/>
    </xf>
    <xf numFmtId="0" fontId="1" fillId="0" borderId="64" xfId="0" applyFont="1" applyBorder="1" applyAlignment="1" applyProtection="1">
      <alignment horizontal="left" vertical="top" wrapText="1"/>
    </xf>
    <xf numFmtId="0" fontId="1" fillId="0" borderId="63" xfId="0" applyFont="1" applyBorder="1" applyAlignment="1" applyProtection="1">
      <alignment horizontal="left" vertical="top" wrapText="1"/>
    </xf>
    <xf numFmtId="0" fontId="1" fillId="0" borderId="62" xfId="0" applyFont="1" applyBorder="1" applyAlignment="1" applyProtection="1">
      <alignment horizontal="center" vertical="center"/>
    </xf>
    <xf numFmtId="0" fontId="1" fillId="0" borderId="64" xfId="0" applyFont="1" applyBorder="1" applyAlignment="1" applyProtection="1">
      <alignment horizontal="center" vertical="center"/>
    </xf>
    <xf numFmtId="0" fontId="1" fillId="0" borderId="63" xfId="0" applyFont="1" applyBorder="1" applyAlignment="1" applyProtection="1">
      <alignment horizontal="center" vertical="center"/>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 vertical="center" textRotation="90" wrapText="1"/>
    </xf>
    <xf numFmtId="0" fontId="1" fillId="0" borderId="62" xfId="0" applyFont="1" applyBorder="1" applyAlignment="1" applyProtection="1">
      <alignment horizontal="center" vertical="center" wrapText="1"/>
    </xf>
    <xf numFmtId="0" fontId="1" fillId="0" borderId="64"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62" fillId="14" borderId="66" xfId="0" applyFont="1" applyFill="1" applyBorder="1" applyAlignment="1">
      <alignment horizontal="center" vertical="center" wrapText="1"/>
    </xf>
    <xf numFmtId="0" fontId="62" fillId="14" borderId="67" xfId="0" applyFont="1" applyFill="1" applyBorder="1" applyAlignment="1">
      <alignment horizontal="center" vertical="center" wrapText="1"/>
    </xf>
    <xf numFmtId="0" fontId="62" fillId="14" borderId="68" xfId="0" applyFont="1" applyFill="1" applyBorder="1" applyAlignment="1">
      <alignment horizontal="center" vertical="center" wrapText="1"/>
    </xf>
    <xf numFmtId="0" fontId="52" fillId="14" borderId="66" xfId="0" applyFont="1" applyFill="1" applyBorder="1" applyAlignment="1">
      <alignment horizontal="left" vertical="center" wrapText="1"/>
    </xf>
    <xf numFmtId="0" fontId="52" fillId="14" borderId="67" xfId="0" applyFont="1" applyFill="1" applyBorder="1" applyAlignment="1">
      <alignment horizontal="left" vertical="center" wrapText="1"/>
    </xf>
    <xf numFmtId="0" fontId="52" fillId="14" borderId="68" xfId="0" applyFont="1" applyFill="1" applyBorder="1" applyAlignment="1">
      <alignment horizontal="left" vertical="center" wrapText="1"/>
    </xf>
    <xf numFmtId="0" fontId="4" fillId="14" borderId="62"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1" fillId="0" borderId="61" xfId="0" applyFont="1" applyBorder="1" applyAlignment="1">
      <alignment horizontal="left"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2" fillId="0" borderId="10" xfId="0" applyFont="1" applyBorder="1" applyAlignment="1">
      <alignment horizontal="center" vertical="center" wrapText="1"/>
    </xf>
    <xf numFmtId="0" fontId="23" fillId="0" borderId="0" xfId="0" applyFont="1" applyAlignment="1">
      <alignment horizontal="center" vertical="center"/>
    </xf>
    <xf numFmtId="0" fontId="44" fillId="0" borderId="0" xfId="0" applyFont="1" applyAlignment="1">
      <alignment horizontal="center" vertical="center"/>
    </xf>
    <xf numFmtId="0" fontId="39" fillId="14" borderId="21" xfId="0" applyFont="1" applyFill="1" applyBorder="1" applyAlignment="1">
      <alignment horizontal="center" vertical="center" wrapText="1" readingOrder="1"/>
    </xf>
    <xf numFmtId="0" fontId="39" fillId="14" borderId="22" xfId="0" applyFont="1" applyFill="1" applyBorder="1" applyAlignment="1">
      <alignment horizontal="center" vertical="center" wrapText="1" readingOrder="1"/>
    </xf>
    <xf numFmtId="0" fontId="39" fillId="14"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4" borderId="30" xfId="0" applyFont="1" applyFill="1" applyBorder="1" applyAlignment="1">
      <alignment horizontal="center" vertical="center" wrapText="1" readingOrder="1"/>
    </xf>
    <xf numFmtId="0" fontId="36" fillId="14"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49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44"/>
  <sheetViews>
    <sheetView topLeftCell="A31" zoomScale="98" zoomScaleNormal="98" workbookViewId="0">
      <selection activeCell="E22" sqref="E22:F22"/>
    </sheetView>
  </sheetViews>
  <sheetFormatPr baseColWidth="10" defaultColWidth="11.42578125" defaultRowHeight="15" x14ac:dyDescent="0.25"/>
  <cols>
    <col min="1" max="1" width="2.85546875" style="70" customWidth="1"/>
    <col min="2" max="2" width="32.5703125" style="70" customWidth="1"/>
    <col min="3" max="3" width="28.42578125" style="70" customWidth="1"/>
    <col min="4" max="4" width="19.7109375" style="70" customWidth="1"/>
    <col min="5" max="5" width="31.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78" t="s">
        <v>159</v>
      </c>
      <c r="C2" s="179"/>
      <c r="D2" s="179"/>
      <c r="E2" s="179"/>
      <c r="F2" s="179"/>
      <c r="G2" s="179"/>
      <c r="H2" s="180"/>
    </row>
    <row r="3" spans="2:8" x14ac:dyDescent="0.25">
      <c r="B3" s="71"/>
      <c r="C3" s="72"/>
      <c r="D3" s="72"/>
      <c r="E3" s="72"/>
      <c r="F3" s="72"/>
      <c r="G3" s="72"/>
      <c r="H3" s="73"/>
    </row>
    <row r="4" spans="2:8" ht="63" customHeight="1" x14ac:dyDescent="0.25">
      <c r="B4" s="181" t="s">
        <v>186</v>
      </c>
      <c r="C4" s="182"/>
      <c r="D4" s="182"/>
      <c r="E4" s="182"/>
      <c r="F4" s="182"/>
      <c r="G4" s="182"/>
      <c r="H4" s="183"/>
    </row>
    <row r="5" spans="2:8" ht="63" customHeight="1" x14ac:dyDescent="0.25">
      <c r="B5" s="184"/>
      <c r="C5" s="185"/>
      <c r="D5" s="185"/>
      <c r="E5" s="185"/>
      <c r="F5" s="185"/>
      <c r="G5" s="185"/>
      <c r="H5" s="186"/>
    </row>
    <row r="6" spans="2:8" ht="16.5" x14ac:dyDescent="0.25">
      <c r="B6" s="187" t="s">
        <v>157</v>
      </c>
      <c r="C6" s="188"/>
      <c r="D6" s="188"/>
      <c r="E6" s="188"/>
      <c r="F6" s="188"/>
      <c r="G6" s="188"/>
      <c r="H6" s="189"/>
    </row>
    <row r="7" spans="2:8" ht="95.25" customHeight="1" x14ac:dyDescent="0.25">
      <c r="B7" s="197" t="s">
        <v>187</v>
      </c>
      <c r="C7" s="198"/>
      <c r="D7" s="198"/>
      <c r="E7" s="198"/>
      <c r="F7" s="198"/>
      <c r="G7" s="198"/>
      <c r="H7" s="199"/>
    </row>
    <row r="8" spans="2:8" ht="16.5" x14ac:dyDescent="0.25">
      <c r="B8" s="106"/>
      <c r="C8" s="107"/>
      <c r="D8" s="107"/>
      <c r="E8" s="107"/>
      <c r="F8" s="107"/>
      <c r="G8" s="107"/>
      <c r="H8" s="108"/>
    </row>
    <row r="9" spans="2:8" ht="16.5" customHeight="1" x14ac:dyDescent="0.25">
      <c r="B9" s="190" t="s">
        <v>179</v>
      </c>
      <c r="C9" s="191"/>
      <c r="D9" s="191"/>
      <c r="E9" s="191"/>
      <c r="F9" s="191"/>
      <c r="G9" s="191"/>
      <c r="H9" s="192"/>
    </row>
    <row r="10" spans="2:8" ht="44.25" customHeight="1" x14ac:dyDescent="0.25">
      <c r="B10" s="190"/>
      <c r="C10" s="191"/>
      <c r="D10" s="191"/>
      <c r="E10" s="191"/>
      <c r="F10" s="191"/>
      <c r="G10" s="191"/>
      <c r="H10" s="192"/>
    </row>
    <row r="11" spans="2:8" ht="15.75" thickBot="1" x14ac:dyDescent="0.3">
      <c r="B11" s="94"/>
      <c r="C11" s="97"/>
      <c r="D11" s="102"/>
      <c r="E11" s="103"/>
      <c r="F11" s="103"/>
      <c r="G11" s="104"/>
      <c r="H11" s="105"/>
    </row>
    <row r="12" spans="2:8" ht="15.75" thickTop="1" x14ac:dyDescent="0.25">
      <c r="B12" s="94"/>
      <c r="C12" s="193" t="s">
        <v>158</v>
      </c>
      <c r="D12" s="194"/>
      <c r="E12" s="195" t="s">
        <v>180</v>
      </c>
      <c r="F12" s="196"/>
      <c r="G12" s="97"/>
      <c r="H12" s="98"/>
    </row>
    <row r="13" spans="2:8" ht="81.599999999999994" customHeight="1" x14ac:dyDescent="0.25">
      <c r="B13" s="94"/>
      <c r="C13" s="200" t="s">
        <v>160</v>
      </c>
      <c r="D13" s="201"/>
      <c r="E13" s="202" t="s">
        <v>196</v>
      </c>
      <c r="F13" s="203"/>
      <c r="G13" s="97"/>
      <c r="H13" s="98"/>
    </row>
    <row r="14" spans="2:8" x14ac:dyDescent="0.25">
      <c r="B14" s="94"/>
      <c r="C14" s="206" t="s">
        <v>190</v>
      </c>
      <c r="D14" s="207"/>
      <c r="E14" s="176" t="s">
        <v>197</v>
      </c>
      <c r="F14" s="177"/>
      <c r="G14" s="97"/>
      <c r="H14" s="98"/>
    </row>
    <row r="15" spans="2:8" ht="32.25" customHeight="1" x14ac:dyDescent="0.25">
      <c r="B15" s="94"/>
      <c r="C15" s="204" t="s">
        <v>191</v>
      </c>
      <c r="D15" s="205"/>
      <c r="E15" s="176" t="s">
        <v>203</v>
      </c>
      <c r="F15" s="177"/>
      <c r="G15" s="97"/>
      <c r="H15" s="98"/>
    </row>
    <row r="16" spans="2:8" ht="28.5" customHeight="1" x14ac:dyDescent="0.25">
      <c r="B16" s="94"/>
      <c r="C16" s="170" t="s">
        <v>193</v>
      </c>
      <c r="D16" s="171"/>
      <c r="E16" s="166" t="s">
        <v>194</v>
      </c>
      <c r="F16" s="167"/>
      <c r="G16" s="97"/>
      <c r="H16" s="98"/>
    </row>
    <row r="17" spans="2:8" ht="32.25" customHeight="1" x14ac:dyDescent="0.25">
      <c r="B17" s="94"/>
      <c r="C17" s="145" t="s">
        <v>199</v>
      </c>
      <c r="D17" s="146"/>
      <c r="E17" s="176" t="s">
        <v>200</v>
      </c>
      <c r="F17" s="177"/>
      <c r="G17" s="97"/>
      <c r="H17" s="98"/>
    </row>
    <row r="18" spans="2:8" ht="72.75" customHeight="1" x14ac:dyDescent="0.25">
      <c r="B18" s="94"/>
      <c r="C18" s="170" t="s">
        <v>1</v>
      </c>
      <c r="D18" s="171"/>
      <c r="E18" s="166" t="s">
        <v>188</v>
      </c>
      <c r="F18" s="167"/>
      <c r="G18" s="97"/>
      <c r="H18" s="98"/>
    </row>
    <row r="19" spans="2:8" ht="64.5" customHeight="1" x14ac:dyDescent="0.25">
      <c r="B19" s="94"/>
      <c r="C19" s="170" t="s">
        <v>46</v>
      </c>
      <c r="D19" s="171"/>
      <c r="E19" s="166" t="s">
        <v>192</v>
      </c>
      <c r="F19" s="167"/>
      <c r="G19" s="147"/>
      <c r="H19" s="98"/>
    </row>
    <row r="20" spans="2:8" ht="62.25" customHeight="1" x14ac:dyDescent="0.25">
      <c r="B20" s="94"/>
      <c r="C20" s="170" t="s">
        <v>201</v>
      </c>
      <c r="D20" s="171"/>
      <c r="E20" s="166" t="s">
        <v>195</v>
      </c>
      <c r="F20" s="167"/>
      <c r="G20" s="147"/>
      <c r="H20" s="98"/>
    </row>
    <row r="21" spans="2:8" ht="71.25" customHeight="1" x14ac:dyDescent="0.25">
      <c r="B21" s="94"/>
      <c r="C21" s="170" t="s">
        <v>161</v>
      </c>
      <c r="D21" s="171"/>
      <c r="E21" s="166" t="s">
        <v>204</v>
      </c>
      <c r="F21" s="167"/>
      <c r="G21" s="147"/>
      <c r="H21" s="98"/>
    </row>
    <row r="22" spans="2:8" ht="55.5" customHeight="1" x14ac:dyDescent="0.25">
      <c r="B22" s="94"/>
      <c r="C22" s="168" t="s">
        <v>162</v>
      </c>
      <c r="D22" s="169"/>
      <c r="E22" s="166" t="s">
        <v>205</v>
      </c>
      <c r="F22" s="167"/>
      <c r="G22" s="148"/>
      <c r="H22" s="98"/>
    </row>
    <row r="23" spans="2:8" ht="42" customHeight="1" x14ac:dyDescent="0.25">
      <c r="B23" s="94"/>
      <c r="C23" s="168" t="s">
        <v>44</v>
      </c>
      <c r="D23" s="169"/>
      <c r="E23" s="166" t="s">
        <v>206</v>
      </c>
      <c r="F23" s="167"/>
      <c r="G23" s="97"/>
      <c r="H23" s="98"/>
    </row>
    <row r="24" spans="2:8" ht="59.25" customHeight="1" x14ac:dyDescent="0.25">
      <c r="B24" s="94"/>
      <c r="C24" s="168" t="s">
        <v>156</v>
      </c>
      <c r="D24" s="169"/>
      <c r="E24" s="166" t="s">
        <v>189</v>
      </c>
      <c r="F24" s="167"/>
      <c r="G24" s="97"/>
      <c r="H24" s="98"/>
    </row>
    <row r="25" spans="2:8" ht="23.25" customHeight="1" x14ac:dyDescent="0.25">
      <c r="B25" s="94"/>
      <c r="C25" s="168" t="s">
        <v>11</v>
      </c>
      <c r="D25" s="169"/>
      <c r="E25" s="166" t="s">
        <v>207</v>
      </c>
      <c r="F25" s="167"/>
      <c r="G25" s="97"/>
      <c r="H25" s="98"/>
    </row>
    <row r="26" spans="2:8" ht="30.75" customHeight="1" x14ac:dyDescent="0.25">
      <c r="B26" s="94"/>
      <c r="C26" s="168" t="s">
        <v>165</v>
      </c>
      <c r="D26" s="169"/>
      <c r="E26" s="166" t="s">
        <v>163</v>
      </c>
      <c r="F26" s="167"/>
      <c r="G26" s="97"/>
      <c r="H26" s="98"/>
    </row>
    <row r="27" spans="2:8" ht="35.25" customHeight="1" x14ac:dyDescent="0.25">
      <c r="B27" s="94"/>
      <c r="C27" s="168" t="s">
        <v>166</v>
      </c>
      <c r="D27" s="169"/>
      <c r="E27" s="166" t="s">
        <v>164</v>
      </c>
      <c r="F27" s="167"/>
      <c r="G27" s="97"/>
      <c r="H27" s="98"/>
    </row>
    <row r="28" spans="2:8" ht="33" customHeight="1" x14ac:dyDescent="0.25">
      <c r="B28" s="94"/>
      <c r="C28" s="168" t="s">
        <v>166</v>
      </c>
      <c r="D28" s="169"/>
      <c r="E28" s="166" t="s">
        <v>164</v>
      </c>
      <c r="F28" s="167"/>
      <c r="G28" s="97"/>
      <c r="H28" s="98"/>
    </row>
    <row r="29" spans="2:8" ht="30" customHeight="1" x14ac:dyDescent="0.25">
      <c r="B29" s="94"/>
      <c r="C29" s="168" t="s">
        <v>167</v>
      </c>
      <c r="D29" s="169"/>
      <c r="E29" s="166" t="s">
        <v>208</v>
      </c>
      <c r="F29" s="167"/>
      <c r="G29" s="97"/>
      <c r="H29" s="98"/>
    </row>
    <row r="30" spans="2:8" ht="35.25" customHeight="1" x14ac:dyDescent="0.25">
      <c r="B30" s="94"/>
      <c r="C30" s="168" t="s">
        <v>168</v>
      </c>
      <c r="D30" s="169"/>
      <c r="E30" s="166" t="s">
        <v>169</v>
      </c>
      <c r="F30" s="167"/>
      <c r="G30" s="97"/>
      <c r="H30" s="98"/>
    </row>
    <row r="31" spans="2:8" ht="31.5" customHeight="1" x14ac:dyDescent="0.25">
      <c r="B31" s="94"/>
      <c r="C31" s="168" t="s">
        <v>170</v>
      </c>
      <c r="D31" s="169"/>
      <c r="E31" s="166" t="s">
        <v>171</v>
      </c>
      <c r="F31" s="167"/>
      <c r="G31" s="97"/>
      <c r="H31" s="98"/>
    </row>
    <row r="32" spans="2:8" ht="35.25" customHeight="1" x14ac:dyDescent="0.25">
      <c r="B32" s="94"/>
      <c r="C32" s="168" t="s">
        <v>172</v>
      </c>
      <c r="D32" s="169"/>
      <c r="E32" s="166" t="s">
        <v>173</v>
      </c>
      <c r="F32" s="167"/>
      <c r="G32" s="97"/>
      <c r="H32" s="98"/>
    </row>
    <row r="33" spans="2:8" ht="59.25" customHeight="1" x14ac:dyDescent="0.25">
      <c r="B33" s="94"/>
      <c r="C33" s="168" t="s">
        <v>174</v>
      </c>
      <c r="D33" s="169"/>
      <c r="E33" s="166" t="s">
        <v>209</v>
      </c>
      <c r="F33" s="167"/>
      <c r="G33" s="97"/>
      <c r="H33" s="98"/>
    </row>
    <row r="34" spans="2:8" ht="41.45" customHeight="1" x14ac:dyDescent="0.25">
      <c r="B34" s="94"/>
      <c r="C34" s="168" t="s">
        <v>28</v>
      </c>
      <c r="D34" s="169"/>
      <c r="E34" s="166" t="s">
        <v>175</v>
      </c>
      <c r="F34" s="167"/>
      <c r="G34" s="97"/>
      <c r="H34" s="98"/>
    </row>
    <row r="35" spans="2:8" ht="96.6" customHeight="1" x14ac:dyDescent="0.25">
      <c r="B35" s="94"/>
      <c r="C35" s="168" t="s">
        <v>177</v>
      </c>
      <c r="D35" s="169"/>
      <c r="E35" s="166" t="s">
        <v>176</v>
      </c>
      <c r="F35" s="167"/>
      <c r="G35" s="97"/>
      <c r="H35" s="98"/>
    </row>
    <row r="36" spans="2:8" ht="52.15" customHeight="1" x14ac:dyDescent="0.25">
      <c r="B36" s="94"/>
      <c r="C36" s="168" t="s">
        <v>38</v>
      </c>
      <c r="D36" s="169"/>
      <c r="E36" s="166" t="s">
        <v>178</v>
      </c>
      <c r="F36" s="167"/>
      <c r="G36" s="97"/>
      <c r="H36" s="98"/>
    </row>
    <row r="37" spans="2:8" ht="12" customHeight="1" thickBot="1" x14ac:dyDescent="0.3">
      <c r="B37" s="94"/>
      <c r="C37" s="172"/>
      <c r="D37" s="173"/>
      <c r="E37" s="174"/>
      <c r="F37" s="175"/>
      <c r="G37" s="97"/>
      <c r="H37" s="98"/>
    </row>
    <row r="38" spans="2:8" ht="15.75" thickTop="1" x14ac:dyDescent="0.25">
      <c r="B38" s="94"/>
      <c r="C38" s="95"/>
      <c r="D38" s="95"/>
      <c r="E38" s="96"/>
      <c r="F38" s="96"/>
      <c r="G38" s="97"/>
      <c r="H38" s="98"/>
    </row>
    <row r="39" spans="2:8" ht="21" customHeight="1" x14ac:dyDescent="0.25">
      <c r="B39" s="163" t="s">
        <v>181</v>
      </c>
      <c r="C39" s="164"/>
      <c r="D39" s="164"/>
      <c r="E39" s="164"/>
      <c r="F39" s="164"/>
      <c r="G39" s="164"/>
      <c r="H39" s="165"/>
    </row>
    <row r="40" spans="2:8" ht="20.25" customHeight="1" x14ac:dyDescent="0.25">
      <c r="B40" s="163" t="s">
        <v>182</v>
      </c>
      <c r="C40" s="164"/>
      <c r="D40" s="164"/>
      <c r="E40" s="164"/>
      <c r="F40" s="164"/>
      <c r="G40" s="164"/>
      <c r="H40" s="165"/>
    </row>
    <row r="41" spans="2:8" ht="20.25" customHeight="1" x14ac:dyDescent="0.25">
      <c r="B41" s="163" t="s">
        <v>183</v>
      </c>
      <c r="C41" s="164"/>
      <c r="D41" s="164"/>
      <c r="E41" s="164"/>
      <c r="F41" s="164"/>
      <c r="G41" s="164"/>
      <c r="H41" s="165"/>
    </row>
    <row r="42" spans="2:8" ht="20.25" customHeight="1" x14ac:dyDescent="0.25">
      <c r="B42" s="163" t="s">
        <v>184</v>
      </c>
      <c r="C42" s="164"/>
      <c r="D42" s="164"/>
      <c r="E42" s="164"/>
      <c r="F42" s="164"/>
      <c r="G42" s="164"/>
      <c r="H42" s="165"/>
    </row>
    <row r="43" spans="2:8" x14ac:dyDescent="0.25">
      <c r="B43" s="163" t="s">
        <v>185</v>
      </c>
      <c r="C43" s="164"/>
      <c r="D43" s="164"/>
      <c r="E43" s="164"/>
      <c r="F43" s="164"/>
      <c r="G43" s="164"/>
      <c r="H43" s="165"/>
    </row>
    <row r="44" spans="2:8" ht="15.75" thickBot="1" x14ac:dyDescent="0.3">
      <c r="B44" s="99"/>
      <c r="C44" s="100"/>
      <c r="D44" s="100"/>
      <c r="E44" s="100"/>
      <c r="F44" s="100"/>
      <c r="G44" s="100"/>
      <c r="H44" s="101"/>
    </row>
  </sheetData>
  <mergeCells count="61">
    <mergeCell ref="E17:F17"/>
    <mergeCell ref="C18:D18"/>
    <mergeCell ref="E18:F18"/>
    <mergeCell ref="B2:H2"/>
    <mergeCell ref="B4:H5"/>
    <mergeCell ref="B6:H6"/>
    <mergeCell ref="B9:H10"/>
    <mergeCell ref="C12:D12"/>
    <mergeCell ref="E12:F12"/>
    <mergeCell ref="B7:H7"/>
    <mergeCell ref="C13:D13"/>
    <mergeCell ref="E13:F13"/>
    <mergeCell ref="C15:D15"/>
    <mergeCell ref="E15:F15"/>
    <mergeCell ref="C14:D14"/>
    <mergeCell ref="E14:F14"/>
    <mergeCell ref="C23:D23"/>
    <mergeCell ref="C19:D19"/>
    <mergeCell ref="C21:D21"/>
    <mergeCell ref="C22:D22"/>
    <mergeCell ref="E19:F19"/>
    <mergeCell ref="E21:F21"/>
    <mergeCell ref="E22:F22"/>
    <mergeCell ref="E23:F23"/>
    <mergeCell ref="C20:D20"/>
    <mergeCell ref="E20:F20"/>
    <mergeCell ref="E25:F25"/>
    <mergeCell ref="C25:D25"/>
    <mergeCell ref="C26:D26"/>
    <mergeCell ref="E26:F26"/>
    <mergeCell ref="C28:D28"/>
    <mergeCell ref="E28:F28"/>
    <mergeCell ref="B39:H39"/>
    <mergeCell ref="B40:H40"/>
    <mergeCell ref="B41:H41"/>
    <mergeCell ref="E36:F36"/>
    <mergeCell ref="C34:D34"/>
    <mergeCell ref="E34:F34"/>
    <mergeCell ref="E32:F32"/>
    <mergeCell ref="E35:F35"/>
    <mergeCell ref="C36:D36"/>
    <mergeCell ref="C37:D37"/>
    <mergeCell ref="E37:F37"/>
    <mergeCell ref="C33:D33"/>
    <mergeCell ref="E33:F33"/>
    <mergeCell ref="B43:H43"/>
    <mergeCell ref="E30:F30"/>
    <mergeCell ref="C30:D30"/>
    <mergeCell ref="C16:D16"/>
    <mergeCell ref="E16:F16"/>
    <mergeCell ref="E24:F24"/>
    <mergeCell ref="C24:D24"/>
    <mergeCell ref="C27:D27"/>
    <mergeCell ref="E27:F27"/>
    <mergeCell ref="C29:D29"/>
    <mergeCell ref="E29:F29"/>
    <mergeCell ref="C35:D35"/>
    <mergeCell ref="B42:H42"/>
    <mergeCell ref="C31:D31"/>
    <mergeCell ref="E31:F31"/>
    <mergeCell ref="C32:D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131"/>
  <sheetViews>
    <sheetView tabSelected="1" topLeftCell="Y5" zoomScale="70" zoomScaleNormal="70" workbookViewId="0">
      <selection activeCell="AL15" sqref="AL15"/>
    </sheetView>
  </sheetViews>
  <sheetFormatPr baseColWidth="10" defaultColWidth="11.42578125" defaultRowHeight="16.5" x14ac:dyDescent="0.3"/>
  <cols>
    <col min="1" max="1" width="4" style="128" bestFit="1" customWidth="1"/>
    <col min="2" max="2" width="24.28515625" style="128" customWidth="1"/>
    <col min="3" max="3" width="61.28515625" style="128" customWidth="1"/>
    <col min="4" max="4" width="47" style="128" customWidth="1"/>
    <col min="5" max="5" width="53.7109375" style="110" customWidth="1"/>
    <col min="6" max="6" width="47.7109375" style="110" customWidth="1"/>
    <col min="7" max="8" width="19" style="129" customWidth="1"/>
    <col min="9" max="9" width="17.85546875" style="110" customWidth="1"/>
    <col min="10" max="10" width="16.5703125" style="110" customWidth="1"/>
    <col min="11" max="11" width="6.28515625" style="110" bestFit="1" customWidth="1"/>
    <col min="12" max="12" width="27.28515625" style="110" bestFit="1" customWidth="1"/>
    <col min="13" max="13" width="16.7109375" style="110" customWidth="1"/>
    <col min="14" max="14" width="17.5703125" style="110" customWidth="1"/>
    <col min="15" max="15" width="6.28515625" style="110" bestFit="1" customWidth="1"/>
    <col min="16" max="16" width="16" style="110" customWidth="1"/>
    <col min="17" max="17" width="5.85546875" style="110" customWidth="1"/>
    <col min="18" max="18" width="47.7109375" style="110" customWidth="1"/>
    <col min="19" max="19" width="15.140625" style="110" bestFit="1" customWidth="1"/>
    <col min="20" max="20" width="6.85546875" style="110" customWidth="1"/>
    <col min="21" max="21" width="5" style="110" customWidth="1"/>
    <col min="22" max="22" width="5.5703125" style="110" customWidth="1"/>
    <col min="23" max="23" width="7.140625" style="110" customWidth="1"/>
    <col min="24" max="24" width="6.7109375" style="110" customWidth="1"/>
    <col min="25" max="25" width="7.5703125" style="110" customWidth="1"/>
    <col min="26" max="26" width="8" style="110" customWidth="1"/>
    <col min="27" max="27" width="8.7109375" style="110" customWidth="1"/>
    <col min="28" max="28" width="10.42578125" style="110" customWidth="1"/>
    <col min="29" max="29" width="9.28515625" style="110" customWidth="1"/>
    <col min="30" max="30" width="9.140625" style="110" customWidth="1"/>
    <col min="31" max="31" width="8.42578125" style="110" customWidth="1"/>
    <col min="32" max="32" width="7.28515625" style="110" customWidth="1"/>
    <col min="33" max="33" width="48" style="110" customWidth="1"/>
    <col min="34" max="34" width="18.85546875" style="110" customWidth="1"/>
    <col min="35" max="35" width="23.5703125" style="110" customWidth="1"/>
    <col min="36" max="36" width="20.5703125" style="110" customWidth="1"/>
    <col min="37" max="37" width="52.42578125" style="110" customWidth="1"/>
    <col min="38" max="38" width="21" style="110" customWidth="1"/>
    <col min="39" max="16384" width="11.42578125" style="110"/>
  </cols>
  <sheetData>
    <row r="1" spans="1:70" ht="35.25" customHeight="1" x14ac:dyDescent="0.3">
      <c r="A1" s="232" t="s">
        <v>137</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4"/>
      <c r="AM1" s="153"/>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ht="24" customHeight="1" x14ac:dyDescent="0.3">
      <c r="A2" s="235" t="s">
        <v>211</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7"/>
      <c r="AM2" s="153"/>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row>
    <row r="3" spans="1:70" ht="51" customHeight="1" x14ac:dyDescent="0.3">
      <c r="A3" s="235" t="s">
        <v>212</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7"/>
      <c r="AM3" s="153"/>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row>
    <row r="4" spans="1:70" ht="24" customHeight="1" x14ac:dyDescent="0.3">
      <c r="A4" s="235" t="s">
        <v>213</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7"/>
      <c r="AM4" s="153"/>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70" x14ac:dyDescent="0.3">
      <c r="A5" s="150"/>
      <c r="B5" s="150"/>
      <c r="C5" s="150"/>
      <c r="D5" s="150"/>
      <c r="E5" s="151"/>
      <c r="F5" s="151"/>
      <c r="G5" s="152"/>
      <c r="H5" s="152"/>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1:70" x14ac:dyDescent="0.3">
      <c r="A6" s="219" t="s">
        <v>133</v>
      </c>
      <c r="B6" s="219"/>
      <c r="C6" s="219"/>
      <c r="D6" s="219"/>
      <c r="E6" s="219"/>
      <c r="F6" s="219"/>
      <c r="G6" s="219"/>
      <c r="H6" s="219"/>
      <c r="I6" s="219"/>
      <c r="J6" s="219" t="s">
        <v>134</v>
      </c>
      <c r="K6" s="219"/>
      <c r="L6" s="219"/>
      <c r="M6" s="219"/>
      <c r="N6" s="219"/>
      <c r="O6" s="219"/>
      <c r="P6" s="219"/>
      <c r="Q6" s="219" t="s">
        <v>135</v>
      </c>
      <c r="R6" s="219"/>
      <c r="S6" s="219"/>
      <c r="T6" s="219"/>
      <c r="U6" s="219"/>
      <c r="V6" s="219"/>
      <c r="W6" s="219"/>
      <c r="X6" s="219"/>
      <c r="Y6" s="219"/>
      <c r="Z6" s="219" t="s">
        <v>136</v>
      </c>
      <c r="AA6" s="219"/>
      <c r="AB6" s="219"/>
      <c r="AC6" s="219"/>
      <c r="AD6" s="219"/>
      <c r="AE6" s="219"/>
      <c r="AF6" s="219"/>
      <c r="AG6" s="219" t="s">
        <v>33</v>
      </c>
      <c r="AH6" s="219"/>
      <c r="AI6" s="219"/>
      <c r="AJ6" s="219"/>
      <c r="AK6" s="219"/>
      <c r="AL6" s="21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1:70" ht="16.5" customHeight="1" x14ac:dyDescent="0.3">
      <c r="A7" s="227" t="s">
        <v>0</v>
      </c>
      <c r="B7" s="143"/>
      <c r="C7" s="143"/>
      <c r="D7" s="226" t="s">
        <v>193</v>
      </c>
      <c r="E7" s="226" t="s">
        <v>199</v>
      </c>
      <c r="F7" s="142"/>
      <c r="G7" s="226" t="s">
        <v>46</v>
      </c>
      <c r="H7" s="238" t="s">
        <v>201</v>
      </c>
      <c r="I7" s="226" t="s">
        <v>129</v>
      </c>
      <c r="J7" s="226" t="s">
        <v>32</v>
      </c>
      <c r="K7" s="219" t="s">
        <v>4</v>
      </c>
      <c r="L7" s="226" t="s">
        <v>83</v>
      </c>
      <c r="M7" s="226" t="s">
        <v>88</v>
      </c>
      <c r="N7" s="226" t="s">
        <v>41</v>
      </c>
      <c r="O7" s="219" t="s">
        <v>4</v>
      </c>
      <c r="P7" s="226" t="s">
        <v>44</v>
      </c>
      <c r="Q7" s="228" t="s">
        <v>10</v>
      </c>
      <c r="R7" s="226" t="s">
        <v>156</v>
      </c>
      <c r="S7" s="226" t="s">
        <v>11</v>
      </c>
      <c r="T7" s="226" t="s">
        <v>7</v>
      </c>
      <c r="U7" s="226"/>
      <c r="V7" s="226"/>
      <c r="W7" s="226"/>
      <c r="X7" s="226"/>
      <c r="Y7" s="226"/>
      <c r="Z7" s="228" t="s">
        <v>132</v>
      </c>
      <c r="AA7" s="228" t="s">
        <v>42</v>
      </c>
      <c r="AB7" s="228" t="s">
        <v>4</v>
      </c>
      <c r="AC7" s="228" t="s">
        <v>43</v>
      </c>
      <c r="AD7" s="228" t="s">
        <v>4</v>
      </c>
      <c r="AE7" s="228" t="s">
        <v>45</v>
      </c>
      <c r="AF7" s="228" t="s">
        <v>28</v>
      </c>
      <c r="AG7" s="226" t="s">
        <v>33</v>
      </c>
      <c r="AH7" s="226" t="s">
        <v>34</v>
      </c>
      <c r="AI7" s="226" t="s">
        <v>35</v>
      </c>
      <c r="AJ7" s="226" t="s">
        <v>37</v>
      </c>
      <c r="AK7" s="226" t="s">
        <v>36</v>
      </c>
      <c r="AL7" s="226" t="s">
        <v>38</v>
      </c>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row>
    <row r="8" spans="1:70" s="112" customFormat="1" ht="120" customHeight="1" x14ac:dyDescent="0.25">
      <c r="A8" s="227"/>
      <c r="B8" s="144" t="s">
        <v>190</v>
      </c>
      <c r="C8" s="144" t="s">
        <v>202</v>
      </c>
      <c r="D8" s="226"/>
      <c r="E8" s="226"/>
      <c r="F8" s="142" t="s">
        <v>198</v>
      </c>
      <c r="G8" s="226"/>
      <c r="H8" s="239"/>
      <c r="I8" s="226"/>
      <c r="J8" s="226"/>
      <c r="K8" s="219"/>
      <c r="L8" s="226"/>
      <c r="M8" s="226"/>
      <c r="N8" s="219"/>
      <c r="O8" s="219"/>
      <c r="P8" s="226"/>
      <c r="Q8" s="228"/>
      <c r="R8" s="226"/>
      <c r="S8" s="226"/>
      <c r="T8" s="130" t="s">
        <v>12</v>
      </c>
      <c r="U8" s="130" t="s">
        <v>16</v>
      </c>
      <c r="V8" s="130" t="s">
        <v>27</v>
      </c>
      <c r="W8" s="130" t="s">
        <v>17</v>
      </c>
      <c r="X8" s="130" t="s">
        <v>20</v>
      </c>
      <c r="Y8" s="130" t="s">
        <v>23</v>
      </c>
      <c r="Z8" s="228"/>
      <c r="AA8" s="228"/>
      <c r="AB8" s="228"/>
      <c r="AC8" s="228"/>
      <c r="AD8" s="228"/>
      <c r="AE8" s="228"/>
      <c r="AF8" s="228"/>
      <c r="AG8" s="226"/>
      <c r="AH8" s="226"/>
      <c r="AI8" s="226"/>
      <c r="AJ8" s="226"/>
      <c r="AK8" s="226"/>
      <c r="AL8" s="226"/>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row>
    <row r="9" spans="1:70" s="125" customFormat="1" ht="91.5" customHeight="1" x14ac:dyDescent="0.25">
      <c r="A9" s="216">
        <v>1</v>
      </c>
      <c r="B9" s="229"/>
      <c r="C9" s="220" t="s">
        <v>215</v>
      </c>
      <c r="D9" s="217" t="s">
        <v>216</v>
      </c>
      <c r="E9" s="217" t="s">
        <v>218</v>
      </c>
      <c r="F9" s="217" t="s">
        <v>214</v>
      </c>
      <c r="G9" s="217" t="s">
        <v>217</v>
      </c>
      <c r="H9" s="213" t="s">
        <v>210</v>
      </c>
      <c r="I9" s="218">
        <v>50</v>
      </c>
      <c r="J9" s="208" t="str">
        <f>IF(I9&lt;=0,"",IF(I9&lt;=2,"Muy Baja",IF(I9&lt;=24,"Baja",IF(I9&lt;=500,"Media",IF(I9&lt;=5000,"Alta","Muy Alta")))))</f>
        <v>Media</v>
      </c>
      <c r="K9" s="209">
        <f>IF(J9="","",IF(J9="Muy Baja",0.2,IF(J9="Baja",0.4,IF(J9="Media",0.6,IF(J9="Alta",0.8,IF(J9="Muy Alta",1,))))))</f>
        <v>0.6</v>
      </c>
      <c r="L9" s="211" t="s">
        <v>146</v>
      </c>
      <c r="M9" s="209" t="str">
        <f>IF(NOT(ISERROR(MATCH(L9,'Tabla Impacto'!$B$221:$B$223,0))),'Tabla Impacto'!$F$223&amp;"Por favor no seleccionar los criterios de impacto(Afectación Económica o presupuestal y Pérdida Reputacional)",L9)</f>
        <v xml:space="preserve">     El riesgo afecta la imagen de alguna área de la organización</v>
      </c>
      <c r="N9" s="208" t="str">
        <f>IF(OR(M9='Tabla Impacto'!$C$11,M9='Tabla Impacto'!$D$11),"Leve",IF(OR(M9='Tabla Impacto'!$C$12,M9='Tabla Impacto'!$D$12),"Menor",IF(OR(M9='Tabla Impacto'!$C$13,M9='Tabla Impacto'!$D$13),"Moderado",IF(OR(M9='Tabla Impacto'!$C$14,M9='Tabla Impacto'!$D$14),"Mayor",IF(OR(M9='Tabla Impacto'!$C$15,M9='Tabla Impacto'!$D$15),"Catastrófico","")))))</f>
        <v>Leve</v>
      </c>
      <c r="O9" s="209">
        <f>IF(N9="","",IF(N9="Leve",0.2,IF(N9="Menor",0.4,IF(N9="Moderado",0.6,IF(N9="Mayor",0.8,IF(N9="Catastrófico",1,))))))</f>
        <v>0.2</v>
      </c>
      <c r="P9" s="210" t="s">
        <v>77</v>
      </c>
      <c r="Q9" s="113">
        <v>1</v>
      </c>
      <c r="R9" s="157" t="s">
        <v>219</v>
      </c>
      <c r="S9" s="115" t="str">
        <f>IF(OR(T9="Preventivo",T9="Detectivo"),"Probabilidad",IF(T9="Correctivo","Impacto",""))</f>
        <v>Probabilidad</v>
      </c>
      <c r="T9" s="116" t="s">
        <v>13</v>
      </c>
      <c r="U9" s="116" t="s">
        <v>9</v>
      </c>
      <c r="V9" s="117" t="str">
        <f>IF(AND(T9="Preventivo",U9="Automático"),"50%",IF(AND(T9="Preventivo",U9="Manual"),"40%",IF(AND(T9="Detectivo",U9="Automático"),"40%",IF(AND(T9="Detectivo",U9="Manual"),"30%",IF(AND(T9="Correctivo",U9="Automático"),"35%",IF(AND(T9="Correctivo",U9="Manual"),"25%",""))))))</f>
        <v>50%</v>
      </c>
      <c r="W9" s="116" t="s">
        <v>18</v>
      </c>
      <c r="X9" s="116" t="s">
        <v>21</v>
      </c>
      <c r="Y9" s="116" t="s">
        <v>115</v>
      </c>
      <c r="Z9" s="118">
        <f>IFERROR(IF(S9="Probabilidad",(K9-(+K9*V9)),IF(S9="Impacto",K9,"")),"")</f>
        <v>0.3</v>
      </c>
      <c r="AA9" s="119" t="str">
        <f>IFERROR(IF(Z9="","",IF(Z9&lt;=0.2,"Muy Baja",IF(Z9&lt;=0.4,"Baja",IF(Z9&lt;=0.6,"Media",IF(Z9&lt;=0.8,"Alta","Muy Alta"))))),"")</f>
        <v>Baja</v>
      </c>
      <c r="AB9" s="117">
        <f>+Z9</f>
        <v>0.3</v>
      </c>
      <c r="AC9" s="119" t="str">
        <f>IFERROR(IF(AD9="","",IF(AD9&lt;=0.2,"Leve",IF(AD9&lt;=0.4,"Menor",IF(AD9&lt;=0.6,"Moderado",IF(AD9&lt;=0.8,"Mayor","Catastrófico"))))),"")</f>
        <v>Leve</v>
      </c>
      <c r="AD9" s="117">
        <f>IFERROR(IF(S9="Impacto",(O9-(+O9*V9)),IF(S9="Probabilidad",O9,"")),"")</f>
        <v>0.2</v>
      </c>
      <c r="AE9" s="120" t="str">
        <f>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Bajo</v>
      </c>
      <c r="AF9" s="116" t="s">
        <v>130</v>
      </c>
      <c r="AG9" s="157" t="s">
        <v>219</v>
      </c>
      <c r="AH9" s="149" t="s">
        <v>221</v>
      </c>
      <c r="AI9" s="123">
        <v>44423</v>
      </c>
      <c r="AJ9" s="123">
        <v>44560</v>
      </c>
      <c r="AK9" s="121" t="s">
        <v>254</v>
      </c>
      <c r="AL9" s="122" t="s">
        <v>39</v>
      </c>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row>
    <row r="10" spans="1:70" ht="75.75" x14ac:dyDescent="0.3">
      <c r="A10" s="216"/>
      <c r="B10" s="230"/>
      <c r="C10" s="221"/>
      <c r="D10" s="217"/>
      <c r="E10" s="217"/>
      <c r="F10" s="217"/>
      <c r="G10" s="217"/>
      <c r="H10" s="214"/>
      <c r="I10" s="218"/>
      <c r="J10" s="208"/>
      <c r="K10" s="209"/>
      <c r="L10" s="211"/>
      <c r="M10" s="209">
        <f ca="1">IF(NOT(ISERROR(MATCH(L10,_xlfn.ANCHORARRAY(E21),0))),K23&amp;"Por favor no seleccionar los criterios de impacto",L10)</f>
        <v>0</v>
      </c>
      <c r="N10" s="208"/>
      <c r="O10" s="209"/>
      <c r="P10" s="210"/>
      <c r="Q10" s="113">
        <v>2</v>
      </c>
      <c r="R10" s="157" t="s">
        <v>220</v>
      </c>
      <c r="S10" s="115" t="str">
        <f>IF(OR(T10="Preventivo",T10="Detectivo"),"Probabilidad",IF(T10="Correctivo","Impacto",""))</f>
        <v>Impacto</v>
      </c>
      <c r="T10" s="116" t="s">
        <v>15</v>
      </c>
      <c r="U10" s="116" t="s">
        <v>8</v>
      </c>
      <c r="V10" s="117"/>
      <c r="W10" s="116" t="s">
        <v>18</v>
      </c>
      <c r="X10" s="116" t="s">
        <v>21</v>
      </c>
      <c r="Y10" s="116" t="s">
        <v>115</v>
      </c>
      <c r="Z10" s="118">
        <f>IFERROR(IF(AND(S9="Probabilidad",S10="Probabilidad"),(AB9-(+AB9*V10)),IF(S10="Probabilidad",(K9-(+K9*V10)),IF(S10="Impacto",AB9,""))),"")</f>
        <v>0.3</v>
      </c>
      <c r="AA10" s="119" t="str">
        <f t="shared" ref="AA10:AA68" si="0">IFERROR(IF(Z10="","",IF(Z10&lt;=0.2,"Muy Baja",IF(Z10&lt;=0.4,"Baja",IF(Z10&lt;=0.6,"Media",IF(Z10&lt;=0.8,"Alta","Muy Alta"))))),"")</f>
        <v>Baja</v>
      </c>
      <c r="AB10" s="117">
        <f t="shared" ref="AB10:AB14" si="1">+Z10</f>
        <v>0.3</v>
      </c>
      <c r="AC10" s="119" t="str">
        <f t="shared" ref="AC10:AC68" si="2">IFERROR(IF(AD10="","",IF(AD10&lt;=0.2,"Leve",IF(AD10&lt;=0.4,"Menor",IF(AD10&lt;=0.6,"Moderado",IF(AD10&lt;=0.8,"Mayor","Catastrófico"))))),"")</f>
        <v>Leve</v>
      </c>
      <c r="AD10" s="117">
        <f>IFERROR(IF(AND(S9="Impacto",S10="Impacto"),(AD9-(+AD9*V10)),IF(S10="Impacto",($O$9-(+$O$9*V10)),IF(S10="Probabilidad",AD9,""))),"")</f>
        <v>0.2</v>
      </c>
      <c r="AE10" s="120" t="str">
        <f t="shared" ref="AE10:AE14" si="3">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Bajo</v>
      </c>
      <c r="AF10" s="116" t="s">
        <v>130</v>
      </c>
      <c r="AG10" s="161" t="s">
        <v>222</v>
      </c>
      <c r="AH10" s="155" t="s">
        <v>221</v>
      </c>
      <c r="AI10" s="123">
        <v>44423</v>
      </c>
      <c r="AJ10" s="123">
        <v>44560</v>
      </c>
      <c r="AK10" s="121" t="s">
        <v>255</v>
      </c>
      <c r="AL10" s="122" t="s">
        <v>39</v>
      </c>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70" x14ac:dyDescent="0.3">
      <c r="A11" s="216"/>
      <c r="B11" s="230"/>
      <c r="C11" s="221"/>
      <c r="D11" s="217"/>
      <c r="E11" s="217"/>
      <c r="F11" s="217"/>
      <c r="G11" s="217"/>
      <c r="H11" s="214"/>
      <c r="I11" s="218"/>
      <c r="J11" s="208"/>
      <c r="K11" s="209"/>
      <c r="L11" s="211"/>
      <c r="M11" s="209">
        <f ca="1">IF(NOT(ISERROR(MATCH(L11,_xlfn.ANCHORARRAY(E22),0))),K24&amp;"Por favor no seleccionar los criterios de impacto",L11)</f>
        <v>0</v>
      </c>
      <c r="N11" s="208"/>
      <c r="O11" s="209"/>
      <c r="P11" s="210"/>
      <c r="Q11" s="113">
        <v>3</v>
      </c>
      <c r="R11" s="158"/>
      <c r="S11" s="115"/>
      <c r="T11" s="116"/>
      <c r="U11" s="116"/>
      <c r="V11" s="117"/>
      <c r="W11" s="116"/>
      <c r="X11" s="116"/>
      <c r="Y11" s="116"/>
      <c r="Z11" s="118"/>
      <c r="AA11" s="119"/>
      <c r="AB11" s="117"/>
      <c r="AC11" s="119"/>
      <c r="AD11" s="117"/>
      <c r="AE11" s="120"/>
      <c r="AF11" s="116"/>
      <c r="AG11" s="121"/>
      <c r="AH11" s="149"/>
      <c r="AI11" s="123"/>
      <c r="AJ11" s="123"/>
      <c r="AK11" s="121"/>
      <c r="AL11" s="122"/>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70" x14ac:dyDescent="0.3">
      <c r="A12" s="216"/>
      <c r="B12" s="230"/>
      <c r="C12" s="221"/>
      <c r="D12" s="217"/>
      <c r="E12" s="217"/>
      <c r="F12" s="217"/>
      <c r="G12" s="217"/>
      <c r="H12" s="214"/>
      <c r="I12" s="218"/>
      <c r="J12" s="208"/>
      <c r="K12" s="209"/>
      <c r="L12" s="211"/>
      <c r="M12" s="209">
        <f ca="1">IF(NOT(ISERROR(MATCH(L12,_xlfn.ANCHORARRAY(E23),0))),K25&amp;"Por favor no seleccionar los criterios de impacto",L12)</f>
        <v>0</v>
      </c>
      <c r="N12" s="208"/>
      <c r="O12" s="209"/>
      <c r="P12" s="210"/>
      <c r="Q12" s="113">
        <v>4</v>
      </c>
      <c r="R12" s="114"/>
      <c r="S12" s="115"/>
      <c r="T12" s="116"/>
      <c r="U12" s="116"/>
      <c r="V12" s="117"/>
      <c r="W12" s="116"/>
      <c r="X12" s="116"/>
      <c r="Y12" s="116"/>
      <c r="Z12" s="118"/>
      <c r="AA12" s="119"/>
      <c r="AB12" s="117"/>
      <c r="AC12" s="119"/>
      <c r="AD12" s="117"/>
      <c r="AE12" s="120"/>
      <c r="AF12" s="116"/>
      <c r="AG12" s="121"/>
      <c r="AH12" s="122"/>
      <c r="AI12" s="123"/>
      <c r="AJ12" s="123"/>
      <c r="AK12" s="121"/>
      <c r="AL12" s="122"/>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70" x14ac:dyDescent="0.3">
      <c r="A13" s="216"/>
      <c r="B13" s="230"/>
      <c r="C13" s="221"/>
      <c r="D13" s="217"/>
      <c r="E13" s="217"/>
      <c r="F13" s="217"/>
      <c r="G13" s="217"/>
      <c r="H13" s="214"/>
      <c r="I13" s="218"/>
      <c r="J13" s="208"/>
      <c r="K13" s="209"/>
      <c r="L13" s="211"/>
      <c r="M13" s="209">
        <f ca="1">IF(NOT(ISERROR(MATCH(L13,_xlfn.ANCHORARRAY(E24),0))),K26&amp;"Por favor no seleccionar los criterios de impacto",L13)</f>
        <v>0</v>
      </c>
      <c r="N13" s="208"/>
      <c r="O13" s="209"/>
      <c r="P13" s="210"/>
      <c r="Q13" s="113">
        <v>5</v>
      </c>
      <c r="R13" s="114"/>
      <c r="S13" s="115"/>
      <c r="T13" s="116"/>
      <c r="U13" s="116"/>
      <c r="V13" s="117"/>
      <c r="W13" s="116"/>
      <c r="X13" s="116"/>
      <c r="Y13" s="116"/>
      <c r="Z13" s="118"/>
      <c r="AA13" s="119"/>
      <c r="AB13" s="117"/>
      <c r="AC13" s="119"/>
      <c r="AD13" s="117"/>
      <c r="AE13" s="120"/>
      <c r="AF13" s="116"/>
      <c r="AG13" s="121"/>
      <c r="AH13" s="122"/>
      <c r="AI13" s="123"/>
      <c r="AJ13" s="123"/>
      <c r="AK13" s="121"/>
      <c r="AL13" s="122"/>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row>
    <row r="14" spans="1:70" ht="105.75" customHeight="1" x14ac:dyDescent="0.3">
      <c r="A14" s="216"/>
      <c r="B14" s="231"/>
      <c r="C14" s="222"/>
      <c r="D14" s="217"/>
      <c r="E14" s="217"/>
      <c r="F14" s="217"/>
      <c r="G14" s="217"/>
      <c r="H14" s="215"/>
      <c r="I14" s="218"/>
      <c r="J14" s="208"/>
      <c r="K14" s="209"/>
      <c r="L14" s="211"/>
      <c r="M14" s="209">
        <f ca="1">IF(NOT(ISERROR(MATCH(L14,_xlfn.ANCHORARRAY(E25),0))),K27&amp;"Por favor no seleccionar los criterios de impacto",L14)</f>
        <v>0</v>
      </c>
      <c r="N14" s="208"/>
      <c r="O14" s="209"/>
      <c r="P14" s="210"/>
      <c r="Q14" s="113">
        <v>6</v>
      </c>
      <c r="R14" s="114"/>
      <c r="S14" s="115" t="str">
        <f t="shared" ref="S14" si="4">IF(OR(T14="Preventivo",T14="Detectivo"),"Probabilidad",IF(T14="Correctivo","Impacto",""))</f>
        <v/>
      </c>
      <c r="T14" s="116"/>
      <c r="U14" s="116"/>
      <c r="V14" s="117" t="str">
        <f t="shared" ref="V14" si="5">IF(AND(T14="Preventivo",U14="Automático"),"50%",IF(AND(T14="Preventivo",U14="Manual"),"40%",IF(AND(T14="Detectivo",U14="Automático"),"40%",IF(AND(T14="Detectivo",U14="Manual"),"30%",IF(AND(T14="Correctivo",U14="Automático"),"35%",IF(AND(T14="Correctivo",U14="Manual"),"25%",""))))))</f>
        <v/>
      </c>
      <c r="W14" s="116"/>
      <c r="X14" s="116"/>
      <c r="Y14" s="116"/>
      <c r="Z14" s="118" t="str">
        <f t="shared" ref="Z14" si="6">IFERROR(IF(AND(S13="Probabilidad",S14="Probabilidad"),(AB13-(+AB13*V14)),IF(AND(S13="Impacto",S14="Probabilidad"),(AB12-(+AB12*V14)),IF(S14="Impacto",AB13,""))),"")</f>
        <v/>
      </c>
      <c r="AA14" s="119" t="str">
        <f t="shared" si="0"/>
        <v/>
      </c>
      <c r="AB14" s="117" t="str">
        <f t="shared" si="1"/>
        <v/>
      </c>
      <c r="AC14" s="119" t="str">
        <f t="shared" si="2"/>
        <v/>
      </c>
      <c r="AD14" s="117" t="str">
        <f t="shared" ref="AD14" si="7">IFERROR(IF(AND(S13="Impacto",S14="Impacto"),(AD13-(+AD13*V14)),IF(AND(S13="Probabilidad",S14="Impacto"),(AD12-(+AD12*V14)),IF(S14="Probabilidad",AD13,""))),"")</f>
        <v/>
      </c>
      <c r="AE14" s="120" t="str">
        <f t="shared" si="3"/>
        <v/>
      </c>
      <c r="AF14" s="116"/>
      <c r="AG14" s="121"/>
      <c r="AH14" s="122"/>
      <c r="AI14" s="123"/>
      <c r="AJ14" s="123"/>
      <c r="AK14" s="121"/>
      <c r="AL14" s="122"/>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70" ht="117" customHeight="1" x14ac:dyDescent="0.3">
      <c r="A15" s="216">
        <v>2</v>
      </c>
      <c r="B15" s="229"/>
      <c r="C15" s="220" t="s">
        <v>215</v>
      </c>
      <c r="D15" s="217" t="s">
        <v>225</v>
      </c>
      <c r="E15" s="212" t="s">
        <v>224</v>
      </c>
      <c r="F15" s="212" t="s">
        <v>223</v>
      </c>
      <c r="G15" s="217" t="s">
        <v>217</v>
      </c>
      <c r="H15" s="213" t="s">
        <v>210</v>
      </c>
      <c r="I15" s="218">
        <v>10</v>
      </c>
      <c r="J15" s="208" t="str">
        <f>IF(I15&lt;=0,"",IF(I15&lt;=2,"Muy Baja",IF(I15&lt;=24,"Baja",IF(I15&lt;=500,"Media",IF(I15&lt;=5000,"Alta","Muy Alta")))))</f>
        <v>Baja</v>
      </c>
      <c r="K15" s="209">
        <f>IF(J15="","",IF(J15="Muy Baja",0.2,IF(J15="Baja",0.4,IF(J15="Media",0.6,IF(J15="Alta",0.8,IF(J15="Muy Alta",1,))))))</f>
        <v>0.4</v>
      </c>
      <c r="L15" s="211" t="s">
        <v>144</v>
      </c>
      <c r="M15" s="209" t="str">
        <f>IF(NOT(ISERROR(MATCH(L15,'Tabla Impacto'!$B$221:$B$223,0))),'Tabla Impacto'!$F$223&amp;"Por favor no seleccionar los criterios de impacto(Afectación Económica o presupuestal y Pérdida Reputacional)",L15)</f>
        <v xml:space="preserve">     Entre 100 y 500 SMLMV </v>
      </c>
      <c r="N15" s="208" t="str">
        <f>IF(OR(M15='Tabla Impacto'!$C$11,M15='Tabla Impacto'!$D$11),"Leve",IF(OR(M15='Tabla Impacto'!$C$12,M15='Tabla Impacto'!$D$12),"Menor",IF(OR(M15='Tabla Impacto'!$C$13,M15='Tabla Impacto'!$D$13),"Moderado",IF(OR(M15='Tabla Impacto'!$C$14,M15='Tabla Impacto'!$D$14),"Mayor",IF(OR(M15='Tabla Impacto'!$C$15,M15='Tabla Impacto'!$D$15),"Catastrófico","")))))</f>
        <v>Mayor</v>
      </c>
      <c r="O15" s="209">
        <f>IF(N15="","",IF(N15="Leve",0.2,IF(N15="Menor",0.4,IF(N15="Moderado",0.6,IF(N15="Mayor",0.8,IF(N15="Catastrófico",1,))))))</f>
        <v>0.8</v>
      </c>
      <c r="P15" s="210" t="str">
        <f>IF(OR(AND(J15="Muy Baja",N15="Leve"),AND(J15="Muy Baja",N15="Menor"),AND(J15="Baja",N15="Leve")),"Bajo",IF(OR(AND(J15="Muy baja",N15="Moderado"),AND(J15="Baja",N15="Menor"),AND(J15="Baja",N15="Moderado"),AND(J15="Media",N15="Leve"),AND(J15="Media",N15="Menor"),AND(J15="Media",N15="Moderado"),AND(J15="Alta",N15="Leve"),AND(J15="Alta",N15="Menor")),"Moderado",IF(OR(AND(J15="Muy Baja",N15="Mayor"),AND(J15="Baja",N15="Mayor"),AND(J15="Media",N15="Mayor"),AND(J15="Alta",N15="Moderado"),AND(J15="Alta",N15="Mayor"),AND(J15="Muy Alta",N15="Leve"),AND(J15="Muy Alta",N15="Menor"),AND(J15="Muy Alta",N15="Moderado"),AND(J15="Muy Alta",N15="Mayor")),"Alto",IF(OR(AND(J15="Muy Baja",N15="Catastrófico"),AND(J15="Baja",N15="Catastrófico"),AND(J15="Media",N15="Catastrófico"),AND(J15="Alta",N15="Catastrófico"),AND(J15="Muy Alta",N15="Catastrófico")),"Extremo",""))))</f>
        <v>Alto</v>
      </c>
      <c r="Q15" s="113">
        <v>1</v>
      </c>
      <c r="R15" s="157" t="s">
        <v>226</v>
      </c>
      <c r="S15" s="115" t="str">
        <f>IF(OR(T15="Preventivo",T15="Detectivo"),"Probabilidad",IF(T15="Correctivo","Impacto",""))</f>
        <v>Probabilidad</v>
      </c>
      <c r="T15" s="116" t="s">
        <v>13</v>
      </c>
      <c r="U15" s="116" t="s">
        <v>9</v>
      </c>
      <c r="V15" s="117" t="str">
        <f>IF(AND(T15="Preventivo",U15="Automático"),"50%",IF(AND(T15="Preventivo",U15="Manual"),"40%",IF(AND(T15="Detectivo",U15="Automático"),"40%",IF(AND(T15="Detectivo",U15="Manual"),"30%",IF(AND(T15="Correctivo",U15="Automático"),"35%",IF(AND(T15="Correctivo",U15="Manual"),"25%",""))))))</f>
        <v>50%</v>
      </c>
      <c r="W15" s="116" t="s">
        <v>18</v>
      </c>
      <c r="X15" s="116" t="s">
        <v>21</v>
      </c>
      <c r="Y15" s="116" t="s">
        <v>115</v>
      </c>
      <c r="Z15" s="118">
        <f>IFERROR(IF(S15="Probabilidad",(K15-(+K15*V15)),IF(S15="Impacto",K15,"")),"")</f>
        <v>0.2</v>
      </c>
      <c r="AA15" s="119" t="str">
        <f>IFERROR(IF(Z15="","",IF(Z15&lt;=0.2,"Muy Baja",IF(Z15&lt;=0.4,"Baja",IF(Z15&lt;=0.6,"Media",IF(Z15&lt;=0.8,"Alta","Muy Alta"))))),"")</f>
        <v>Muy Baja</v>
      </c>
      <c r="AB15" s="117">
        <f>+Z15</f>
        <v>0.2</v>
      </c>
      <c r="AC15" s="119" t="str">
        <f>IFERROR(IF(AD15="","",IF(AD15&lt;=0.2,"Leve",IF(AD15&lt;=0.4,"Menor",IF(AD15&lt;=0.6,"Moderado",IF(AD15&lt;=0.8,"Mayor","Catastrófico"))))),"")</f>
        <v>Mayor</v>
      </c>
      <c r="AD15" s="117">
        <f>IFERROR(IF(S15="Impacto",(O15-(+O15*V15)),IF(S15="Probabilidad",O15,"")),"")</f>
        <v>0.8</v>
      </c>
      <c r="AE15" s="120" t="str">
        <f>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Alto</v>
      </c>
      <c r="AF15" s="116" t="s">
        <v>130</v>
      </c>
      <c r="AG15" s="157" t="s">
        <v>228</v>
      </c>
      <c r="AH15" s="155" t="s">
        <v>221</v>
      </c>
      <c r="AI15" s="123">
        <v>44423</v>
      </c>
      <c r="AJ15" s="123">
        <v>44560</v>
      </c>
      <c r="AK15" s="161" t="s">
        <v>256</v>
      </c>
      <c r="AL15" s="122" t="s">
        <v>40</v>
      </c>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row>
    <row r="16" spans="1:70" ht="117.75" customHeight="1" x14ac:dyDescent="0.3">
      <c r="A16" s="216"/>
      <c r="B16" s="230"/>
      <c r="C16" s="221"/>
      <c r="D16" s="217"/>
      <c r="E16" s="212"/>
      <c r="F16" s="212"/>
      <c r="G16" s="217"/>
      <c r="H16" s="214"/>
      <c r="I16" s="218"/>
      <c r="J16" s="208"/>
      <c r="K16" s="209"/>
      <c r="L16" s="211"/>
      <c r="M16" s="209">
        <f ca="1">IF(NOT(ISERROR(MATCH(L16,_xlfn.ANCHORARRAY(E27),0))),K29&amp;"Por favor no seleccionar los criterios de impacto",L16)</f>
        <v>0</v>
      </c>
      <c r="N16" s="208"/>
      <c r="O16" s="209"/>
      <c r="P16" s="210"/>
      <c r="Q16" s="113">
        <v>2</v>
      </c>
      <c r="R16" s="157" t="s">
        <v>227</v>
      </c>
      <c r="S16" s="115" t="str">
        <f>IF(OR(T16="Preventivo",T16="Detectivo"),"Probabilidad",IF(T16="Correctivo","Impacto",""))</f>
        <v>Impacto</v>
      </c>
      <c r="T16" s="116" t="s">
        <v>15</v>
      </c>
      <c r="U16" s="116" t="s">
        <v>8</v>
      </c>
      <c r="V16" s="117"/>
      <c r="W16" s="116" t="s">
        <v>18</v>
      </c>
      <c r="X16" s="116" t="s">
        <v>21</v>
      </c>
      <c r="Y16" s="116" t="s">
        <v>115</v>
      </c>
      <c r="Z16" s="118">
        <f>IFERROR(IF(AND(S15="Probabilidad",S16="Probabilidad"),(AB15-(+AB15*V16)),IF(S16="Probabilidad",(K15-(+K15*V16)),IF(S16="Impacto",AB15,""))),"")</f>
        <v>0.2</v>
      </c>
      <c r="AA16" s="119" t="str">
        <f t="shared" ref="AA16" si="8">IFERROR(IF(Z16="","",IF(Z16&lt;=0.2,"Muy Baja",IF(Z16&lt;=0.4,"Baja",IF(Z16&lt;=0.6,"Media",IF(Z16&lt;=0.8,"Alta","Muy Alta"))))),"")</f>
        <v>Muy Baja</v>
      </c>
      <c r="AB16" s="117">
        <f t="shared" ref="AB16" si="9">+Z16</f>
        <v>0.2</v>
      </c>
      <c r="AC16" s="119" t="str">
        <f t="shared" ref="AC16" si="10">IFERROR(IF(AD16="","",IF(AD16&lt;=0.2,"Leve",IF(AD16&lt;=0.4,"Menor",IF(AD16&lt;=0.6,"Moderado",IF(AD16&lt;=0.8,"Mayor","Catastrófico"))))),"")</f>
        <v>Leve</v>
      </c>
      <c r="AD16" s="117">
        <f>IFERROR(IF(AND(S15="Impacto",S16="Impacto"),(AD15-(+AD15*V16)),IF(S16="Impacto",($O$9-(+$O$9*V16)),IF(S16="Probabilidad",AD15,""))),"")</f>
        <v>0.2</v>
      </c>
      <c r="AE16" s="120" t="str">
        <f t="shared" ref="AE16" si="11">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Bajo</v>
      </c>
      <c r="AF16" s="116" t="s">
        <v>130</v>
      </c>
      <c r="AG16" s="161" t="s">
        <v>229</v>
      </c>
      <c r="AH16" s="155" t="s">
        <v>221</v>
      </c>
      <c r="AI16" s="123">
        <v>44423</v>
      </c>
      <c r="AJ16" s="123">
        <v>44560</v>
      </c>
      <c r="AK16" s="121" t="s">
        <v>257</v>
      </c>
      <c r="AL16" s="122" t="s">
        <v>40</v>
      </c>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1:70" ht="110.25" customHeight="1" x14ac:dyDescent="0.3">
      <c r="A17" s="216"/>
      <c r="B17" s="230"/>
      <c r="C17" s="221"/>
      <c r="D17" s="217"/>
      <c r="E17" s="212"/>
      <c r="F17" s="212"/>
      <c r="G17" s="217"/>
      <c r="H17" s="214"/>
      <c r="I17" s="218"/>
      <c r="J17" s="208"/>
      <c r="K17" s="209"/>
      <c r="L17" s="211"/>
      <c r="M17" s="209">
        <f ca="1">IF(NOT(ISERROR(MATCH(L17,_xlfn.ANCHORARRAY(E28),0))),K30&amp;"Por favor no seleccionar los criterios de impacto",L17)</f>
        <v>0</v>
      </c>
      <c r="N17" s="208"/>
      <c r="O17" s="209"/>
      <c r="P17" s="210"/>
      <c r="Q17" s="113">
        <v>3</v>
      </c>
      <c r="R17" s="158"/>
      <c r="S17" s="115" t="str">
        <f>IF(OR(T17="Preventivo",T17="Detectivo"),"Probabilidad",IF(T17="Correctivo","Impacto",""))</f>
        <v/>
      </c>
      <c r="T17" s="116"/>
      <c r="U17" s="116"/>
      <c r="V17" s="117" t="str">
        <f t="shared" ref="V17:V20" si="12">IF(AND(T17="Preventivo",U17="Automático"),"50%",IF(AND(T17="Preventivo",U17="Manual"),"40%",IF(AND(T17="Detectivo",U17="Automático"),"40%",IF(AND(T17="Detectivo",U17="Manual"),"30%",IF(AND(T17="Correctivo",U17="Automático"),"35%",IF(AND(T17="Correctivo",U17="Manual"),"25%",""))))))</f>
        <v/>
      </c>
      <c r="W17" s="116"/>
      <c r="X17" s="116"/>
      <c r="Y17" s="116"/>
      <c r="Z17" s="118" t="str">
        <f>IFERROR(IF(AND(S16="Probabilidad",S17="Probabilidad"),(AB16-(+AB16*V17)),IF(AND(S16="Impacto",S17="Probabilidad"),(AB15-(+AB15*V17)),IF(S17="Impacto",AB16,""))),"")</f>
        <v/>
      </c>
      <c r="AA17" s="119" t="str">
        <f t="shared" si="0"/>
        <v/>
      </c>
      <c r="AB17" s="117" t="str">
        <f t="shared" ref="AB17:AB20" si="13">+Z17</f>
        <v/>
      </c>
      <c r="AC17" s="119" t="str">
        <f t="shared" si="2"/>
        <v/>
      </c>
      <c r="AD17" s="117" t="str">
        <f>IFERROR(IF(AND(S16="Impacto",S17="Impacto"),(AD16-(+AD16*V17)),IF(AND(S16="Probabilidad",S17="Impacto"),(AD15-(+AD15*V17)),IF(S17="Probabilidad",AD16,""))),"")</f>
        <v/>
      </c>
      <c r="AE17" s="120" t="str">
        <f t="shared" ref="AE17" si="14">IFERROR(IF(OR(AND(AA17="Muy Baja",AC17="Leve"),AND(AA17="Muy Baja",AC17="Menor"),AND(AA17="Baja",AC17="Leve")),"Bajo",IF(OR(AND(AA17="Muy baja",AC17="Moderado"),AND(AA17="Baja",AC17="Menor"),AND(AA17="Baja",AC17="Moderado"),AND(AA17="Media",AC17="Leve"),AND(AA17="Media",AC17="Menor"),AND(AA17="Media",AC17="Moderado"),AND(AA17="Alta",AC17="Leve"),AND(AA17="Alta",AC17="Menor")),"Moderado",IF(OR(AND(AA17="Muy Baja",AC17="Mayor"),AND(AA17="Baja",AC17="Mayor"),AND(AA17="Media",AC17="Mayor"),AND(AA17="Alta",AC17="Moderado"),AND(AA17="Alta",AC17="Mayor"),AND(AA17="Muy Alta",AC17="Leve"),AND(AA17="Muy Alta",AC17="Menor"),AND(AA17="Muy Alta",AC17="Moderado"),AND(AA17="Muy Alta",AC17="Mayor")),"Alto",IF(OR(AND(AA17="Muy Baja",AC17="Catastrófico"),AND(AA17="Baja",AC17="Catastrófico"),AND(AA17="Media",AC17="Catastrófico"),AND(AA17="Alta",AC17="Catastrófico"),AND(AA17="Muy Alta",AC17="Catastrófico")),"Extremo","")))),"")</f>
        <v/>
      </c>
      <c r="AF17" s="116"/>
      <c r="AG17" s="121"/>
      <c r="AH17" s="122"/>
      <c r="AI17" s="123"/>
      <c r="AJ17" s="123"/>
      <c r="AK17" s="121"/>
      <c r="AL17" s="122"/>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row>
    <row r="18" spans="1:70" ht="14.45" customHeight="1" x14ac:dyDescent="0.3">
      <c r="A18" s="216"/>
      <c r="B18" s="230"/>
      <c r="C18" s="221"/>
      <c r="D18" s="217"/>
      <c r="E18" s="212"/>
      <c r="F18" s="212"/>
      <c r="G18" s="217"/>
      <c r="H18" s="214"/>
      <c r="I18" s="218"/>
      <c r="J18" s="208"/>
      <c r="K18" s="209"/>
      <c r="L18" s="211"/>
      <c r="M18" s="209">
        <f ca="1">IF(NOT(ISERROR(MATCH(L18,_xlfn.ANCHORARRAY(E29),0))),K31&amp;"Por favor no seleccionar los criterios de impacto",L18)</f>
        <v>0</v>
      </c>
      <c r="N18" s="208"/>
      <c r="O18" s="209"/>
      <c r="P18" s="210"/>
      <c r="Q18" s="113">
        <v>4</v>
      </c>
      <c r="R18" s="114"/>
      <c r="S18" s="115" t="str">
        <f t="shared" ref="S18:S20" si="15">IF(OR(T18="Preventivo",T18="Detectivo"),"Probabilidad",IF(T18="Correctivo","Impacto",""))</f>
        <v/>
      </c>
      <c r="T18" s="116"/>
      <c r="U18" s="116"/>
      <c r="V18" s="117" t="str">
        <f t="shared" si="12"/>
        <v/>
      </c>
      <c r="W18" s="116"/>
      <c r="X18" s="116"/>
      <c r="Y18" s="116"/>
      <c r="Z18" s="118" t="str">
        <f t="shared" ref="Z18:Z20" si="16">IFERROR(IF(AND(S17="Probabilidad",S18="Probabilidad"),(AB17-(+AB17*V18)),IF(AND(S17="Impacto",S18="Probabilidad"),(AB16-(+AB16*V18)),IF(S18="Impacto",AB17,""))),"")</f>
        <v/>
      </c>
      <c r="AA18" s="119" t="str">
        <f t="shared" si="0"/>
        <v/>
      </c>
      <c r="AB18" s="117" t="str">
        <f t="shared" si="13"/>
        <v/>
      </c>
      <c r="AC18" s="119" t="str">
        <f t="shared" si="2"/>
        <v/>
      </c>
      <c r="AD18" s="117" t="str">
        <f t="shared" ref="AD18:AD20" si="17">IFERROR(IF(AND(S17="Impacto",S18="Impacto"),(AD17-(+AD17*V18)),IF(AND(S17="Probabilidad",S18="Impacto"),(AD16-(+AD16*V18)),IF(S18="Probabilidad",AD17,""))),"")</f>
        <v/>
      </c>
      <c r="AE18" s="120" t="str">
        <f>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
      </c>
      <c r="AF18" s="116"/>
      <c r="AG18" s="121"/>
      <c r="AH18" s="122"/>
      <c r="AI18" s="123"/>
      <c r="AJ18" s="123"/>
      <c r="AK18" s="121"/>
      <c r="AL18" s="122"/>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row>
    <row r="19" spans="1:70" ht="69" customHeight="1" x14ac:dyDescent="0.3">
      <c r="A19" s="216"/>
      <c r="B19" s="230"/>
      <c r="C19" s="221"/>
      <c r="D19" s="217"/>
      <c r="E19" s="212"/>
      <c r="F19" s="212"/>
      <c r="G19" s="217"/>
      <c r="H19" s="214"/>
      <c r="I19" s="218"/>
      <c r="J19" s="208"/>
      <c r="K19" s="209"/>
      <c r="L19" s="211"/>
      <c r="M19" s="209">
        <f ca="1">IF(NOT(ISERROR(MATCH(L19,_xlfn.ANCHORARRAY(E30),0))),K32&amp;"Por favor no seleccionar los criterios de impacto",L19)</f>
        <v>0</v>
      </c>
      <c r="N19" s="208"/>
      <c r="O19" s="209"/>
      <c r="P19" s="210"/>
      <c r="Q19" s="113">
        <v>5</v>
      </c>
      <c r="R19" s="114"/>
      <c r="S19" s="115" t="str">
        <f t="shared" si="15"/>
        <v/>
      </c>
      <c r="T19" s="116"/>
      <c r="U19" s="116"/>
      <c r="V19" s="117" t="str">
        <f t="shared" si="12"/>
        <v/>
      </c>
      <c r="W19" s="116"/>
      <c r="X19" s="116"/>
      <c r="Y19" s="116"/>
      <c r="Z19" s="118" t="str">
        <f t="shared" si="16"/>
        <v/>
      </c>
      <c r="AA19" s="119" t="str">
        <f t="shared" si="0"/>
        <v/>
      </c>
      <c r="AB19" s="117" t="str">
        <f t="shared" si="13"/>
        <v/>
      </c>
      <c r="AC19" s="119" t="str">
        <f t="shared" si="2"/>
        <v/>
      </c>
      <c r="AD19" s="117" t="str">
        <f t="shared" si="17"/>
        <v/>
      </c>
      <c r="AE19" s="120" t="str">
        <f t="shared" ref="AE19:AE20" si="18">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116"/>
      <c r="AG19" s="121"/>
      <c r="AH19" s="122"/>
      <c r="AI19" s="123"/>
      <c r="AJ19" s="123"/>
      <c r="AK19" s="121"/>
      <c r="AL19" s="122"/>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row>
    <row r="20" spans="1:70" ht="131.25" customHeight="1" x14ac:dyDescent="0.3">
      <c r="A20" s="216"/>
      <c r="B20" s="231"/>
      <c r="C20" s="222"/>
      <c r="D20" s="217"/>
      <c r="E20" s="212"/>
      <c r="F20" s="212"/>
      <c r="G20" s="217"/>
      <c r="H20" s="215"/>
      <c r="I20" s="218"/>
      <c r="J20" s="208"/>
      <c r="K20" s="209"/>
      <c r="L20" s="211"/>
      <c r="M20" s="209">
        <f ca="1">IF(NOT(ISERROR(MATCH(L20,_xlfn.ANCHORARRAY(E31),0))),K33&amp;"Por favor no seleccionar los criterios de impacto",L20)</f>
        <v>0</v>
      </c>
      <c r="N20" s="208"/>
      <c r="O20" s="209"/>
      <c r="P20" s="210"/>
      <c r="Q20" s="113">
        <v>6</v>
      </c>
      <c r="R20" s="114"/>
      <c r="S20" s="115" t="str">
        <f t="shared" si="15"/>
        <v/>
      </c>
      <c r="T20" s="116"/>
      <c r="U20" s="116"/>
      <c r="V20" s="117" t="str">
        <f t="shared" si="12"/>
        <v/>
      </c>
      <c r="W20" s="116"/>
      <c r="X20" s="116"/>
      <c r="Y20" s="116"/>
      <c r="Z20" s="118" t="str">
        <f t="shared" si="16"/>
        <v/>
      </c>
      <c r="AA20" s="119" t="str">
        <f t="shared" si="0"/>
        <v/>
      </c>
      <c r="AB20" s="117" t="str">
        <f t="shared" si="13"/>
        <v/>
      </c>
      <c r="AC20" s="119" t="str">
        <f t="shared" si="2"/>
        <v/>
      </c>
      <c r="AD20" s="117" t="str">
        <f t="shared" si="17"/>
        <v/>
      </c>
      <c r="AE20" s="120" t="str">
        <f t="shared" si="18"/>
        <v/>
      </c>
      <c r="AF20" s="116"/>
      <c r="AG20" s="121"/>
      <c r="AH20" s="122"/>
      <c r="AI20" s="123"/>
      <c r="AJ20" s="123"/>
      <c r="AK20" s="121"/>
      <c r="AL20" s="122"/>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row>
    <row r="21" spans="1:70" ht="135" customHeight="1" x14ac:dyDescent="0.3">
      <c r="A21" s="216">
        <v>3</v>
      </c>
      <c r="B21" s="223"/>
      <c r="C21" s="220" t="s">
        <v>215</v>
      </c>
      <c r="D21" s="217" t="s">
        <v>232</v>
      </c>
      <c r="E21" s="212" t="s">
        <v>231</v>
      </c>
      <c r="F21" s="212" t="s">
        <v>230</v>
      </c>
      <c r="G21" s="217" t="s">
        <v>217</v>
      </c>
      <c r="H21" s="213" t="s">
        <v>210</v>
      </c>
      <c r="I21" s="218">
        <v>50</v>
      </c>
      <c r="J21" s="208" t="str">
        <f>IF(I21&lt;=0,"",IF(I21&lt;=2,"Muy Baja",IF(I21&lt;=24,"Baja",IF(I21&lt;=500,"Media",IF(I21&lt;=5000,"Alta","Muy Alta")))))</f>
        <v>Media</v>
      </c>
      <c r="K21" s="209">
        <f>IF(J21="","",IF(J21="Muy Baja",0.2,IF(J21="Baja",0.4,IF(J21="Media",0.6,IF(J21="Alta",0.8,IF(J21="Muy Alta",1,))))))</f>
        <v>0.6</v>
      </c>
      <c r="L21" s="211" t="s">
        <v>148</v>
      </c>
      <c r="M21" s="209" t="str">
        <f>IF(NOT(ISERROR(MATCH(L21,'Tabla Impacto'!$B$221:$B$223,0))),'Tabla Impacto'!$F$223&amp;"Por favor no seleccionar los criterios de impacto(Afectación Económica o presupuestal y Pérdida Reputacional)",L21)</f>
        <v xml:space="preserve">     El riesgo afecta la imagen de la entidad con algunos usuarios de relevancia frente al logro de los objetivos</v>
      </c>
      <c r="N21" s="208" t="str">
        <f>IF(OR(M21='Tabla Impacto'!$C$11,M21='Tabla Impacto'!$D$11),"Leve",IF(OR(M21='Tabla Impacto'!$C$12,M21='Tabla Impacto'!$D$12),"Menor",IF(OR(M21='Tabla Impacto'!$C$13,M21='Tabla Impacto'!$D$13),"Moderado",IF(OR(M21='Tabla Impacto'!$C$14,M21='Tabla Impacto'!$D$14),"Mayor",IF(OR(M21='Tabla Impacto'!$C$15,M21='Tabla Impacto'!$D$15),"Catastrófico","")))))</f>
        <v>Moderado</v>
      </c>
      <c r="O21" s="209">
        <f>IF(N21="","",IF(N21="Leve",0.2,IF(N21="Menor",0.4,IF(N21="Moderado",0.6,IF(N21="Mayor",0.8,IF(N21="Catastrófico",1,))))))</f>
        <v>0.6</v>
      </c>
      <c r="P21" s="210" t="str">
        <f>IF(OR(AND(J21="Muy Baja",N21="Leve"),AND(J21="Muy Baja",N21="Menor"),AND(J21="Baja",N21="Leve")),"Bajo",IF(OR(AND(J21="Muy baja",N21="Moderado"),AND(J21="Baja",N21="Menor"),AND(J21="Baja",N21="Moderado"),AND(J21="Media",N21="Leve"),AND(J21="Media",N21="Menor"),AND(J21="Media",N21="Moderado"),AND(J21="Alta",N21="Leve"),AND(J21="Alta",N21="Menor")),"Moderado",IF(OR(AND(J21="Muy Baja",N21="Mayor"),AND(J21="Baja",N21="Mayor"),AND(J21="Media",N21="Mayor"),AND(J21="Alta",N21="Moderado"),AND(J21="Alta",N21="Mayor"),AND(J21="Muy Alta",N21="Leve"),AND(J21="Muy Alta",N21="Menor"),AND(J21="Muy Alta",N21="Moderado"),AND(J21="Muy Alta",N21="Mayor")),"Alto",IF(OR(AND(J21="Muy Baja",N21="Catastrófico"),AND(J21="Baja",N21="Catastrófico"),AND(J21="Media",N21="Catastrófico"),AND(J21="Alta",N21="Catastrófico"),AND(J21="Muy Alta",N21="Catastrófico")),"Extremo",""))))</f>
        <v>Moderado</v>
      </c>
      <c r="Q21" s="113">
        <v>1</v>
      </c>
      <c r="R21" s="114" t="s">
        <v>234</v>
      </c>
      <c r="S21" s="115" t="str">
        <f>IF(OR(T21="Preventivo",T21="Detectivo"),"Probabilidad",IF(T21="Correctivo","Impacto",""))</f>
        <v>Probabilidad</v>
      </c>
      <c r="T21" s="116" t="s">
        <v>14</v>
      </c>
      <c r="U21" s="116" t="s">
        <v>8</v>
      </c>
      <c r="V21" s="117" t="str">
        <f>IF(AND(T21="Preventivo",U21="Automático"),"50%",IF(AND(T21="Preventivo",U21="Manual"),"40%",IF(AND(T21="Detectivo",U21="Automático"),"40%",IF(AND(T21="Detectivo",U21="Manual"),"30%",IF(AND(T21="Correctivo",U21="Automático"),"35%",IF(AND(T21="Correctivo",U21="Manual"),"25%",""))))))</f>
        <v>30%</v>
      </c>
      <c r="W21" s="116" t="s">
        <v>18</v>
      </c>
      <c r="X21" s="116" t="s">
        <v>21</v>
      </c>
      <c r="Y21" s="116" t="s">
        <v>115</v>
      </c>
      <c r="Z21" s="118">
        <f>IFERROR(IF(S21="Probabilidad",(K21-(+K21*V21)),IF(S21="Impacto",K21,"")),"")</f>
        <v>0.42</v>
      </c>
      <c r="AA21" s="119" t="str">
        <f>IFERROR(IF(Z21="","",IF(Z21&lt;=0.2,"Muy Baja",IF(Z21&lt;=0.4,"Baja",IF(Z21&lt;=0.6,"Media",IF(Z21&lt;=0.8,"Alta","Muy Alta"))))),"")</f>
        <v>Media</v>
      </c>
      <c r="AB21" s="117">
        <f>+Z21</f>
        <v>0.42</v>
      </c>
      <c r="AC21" s="119" t="str">
        <f>IFERROR(IF(AD21="","",IF(AD21&lt;=0.2,"Leve",IF(AD21&lt;=0.4,"Menor",IF(AD21&lt;=0.6,"Moderado",IF(AD21&lt;=0.8,"Mayor","Catastrófico"))))),"")</f>
        <v>Moderado</v>
      </c>
      <c r="AD21" s="117">
        <f>IFERROR(IF(S21="Impacto",(O21-(+O21*V21)),IF(S21="Probabilidad",O21,"")),"")</f>
        <v>0.6</v>
      </c>
      <c r="AE21" s="120" t="str">
        <f>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Moderado</v>
      </c>
      <c r="AF21" s="116" t="s">
        <v>130</v>
      </c>
      <c r="AG21" s="161" t="s">
        <v>233</v>
      </c>
      <c r="AH21" s="155" t="s">
        <v>221</v>
      </c>
      <c r="AI21" s="123">
        <v>44423</v>
      </c>
      <c r="AJ21" s="123">
        <v>44560</v>
      </c>
      <c r="AK21" s="161" t="s">
        <v>253</v>
      </c>
      <c r="AL21" s="122" t="s">
        <v>39</v>
      </c>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row>
    <row r="22" spans="1:70" ht="107.25" customHeight="1" x14ac:dyDescent="0.3">
      <c r="A22" s="216"/>
      <c r="B22" s="224"/>
      <c r="C22" s="221"/>
      <c r="D22" s="217"/>
      <c r="E22" s="212"/>
      <c r="F22" s="212"/>
      <c r="G22" s="217"/>
      <c r="H22" s="214"/>
      <c r="I22" s="218"/>
      <c r="J22" s="208"/>
      <c r="K22" s="209"/>
      <c r="L22" s="211"/>
      <c r="M22" s="209">
        <f t="shared" ref="M22:M26" ca="1" si="19">IF(NOT(ISERROR(MATCH(L22,_xlfn.ANCHORARRAY(E33),0))),K35&amp;"Por favor no seleccionar los criterios de impacto",L22)</f>
        <v>0</v>
      </c>
      <c r="N22" s="208"/>
      <c r="O22" s="209"/>
      <c r="P22" s="210"/>
      <c r="Q22" s="113">
        <v>2</v>
      </c>
      <c r="R22" s="114"/>
      <c r="S22" s="115" t="str">
        <f>IF(OR(T22="Preventivo",T22="Detectivo"),"Probabilidad",IF(T22="Correctivo","Impacto",""))</f>
        <v/>
      </c>
      <c r="T22" s="116"/>
      <c r="U22" s="116"/>
      <c r="V22" s="117" t="str">
        <f t="shared" ref="V22:V26" si="20">IF(AND(T22="Preventivo",U22="Automático"),"50%",IF(AND(T22="Preventivo",U22="Manual"),"40%",IF(AND(T22="Detectivo",U22="Automático"),"40%",IF(AND(T22="Detectivo",U22="Manual"),"30%",IF(AND(T22="Correctivo",U22="Automático"),"35%",IF(AND(T22="Correctivo",U22="Manual"),"25%",""))))))</f>
        <v/>
      </c>
      <c r="W22" s="116"/>
      <c r="X22" s="116"/>
      <c r="Y22" s="116"/>
      <c r="Z22" s="127" t="str">
        <f>IFERROR(IF(AND(S21="Probabilidad",S22="Probabilidad"),(AB21-(+AB21*V22)),IF(S22="Probabilidad",(K21-(+K21*V22)),IF(S22="Impacto",AB21,""))),"")</f>
        <v/>
      </c>
      <c r="AA22" s="119" t="str">
        <f t="shared" si="0"/>
        <v/>
      </c>
      <c r="AB22" s="117" t="str">
        <f t="shared" ref="AB22:AB26" si="21">+Z22</f>
        <v/>
      </c>
      <c r="AC22" s="119" t="str">
        <f t="shared" si="2"/>
        <v/>
      </c>
      <c r="AD22" s="117" t="str">
        <f>IFERROR(IF(AND(S21="Impacto",S22="Impacto"),(AD15-(+AD15*V22)),IF(S22="Impacto",($O$21-(+$O$21*V22)),IF(S22="Probabilidad",AD15,""))),"")</f>
        <v/>
      </c>
      <c r="AE22" s="120" t="str">
        <f t="shared" ref="AE22:AE23" si="22">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
      </c>
      <c r="AF22" s="116"/>
      <c r="AG22" s="162" t="s">
        <v>235</v>
      </c>
      <c r="AH22" s="155" t="s">
        <v>221</v>
      </c>
      <c r="AI22" s="123">
        <v>44423</v>
      </c>
      <c r="AJ22" s="123">
        <v>44560</v>
      </c>
      <c r="AK22" s="161" t="s">
        <v>252</v>
      </c>
      <c r="AL22" s="122" t="s">
        <v>39</v>
      </c>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row>
    <row r="23" spans="1:70" ht="99" customHeight="1" x14ac:dyDescent="0.3">
      <c r="A23" s="216"/>
      <c r="B23" s="224"/>
      <c r="C23" s="221"/>
      <c r="D23" s="217"/>
      <c r="E23" s="212"/>
      <c r="F23" s="212"/>
      <c r="G23" s="217"/>
      <c r="H23" s="214"/>
      <c r="I23" s="218"/>
      <c r="J23" s="208"/>
      <c r="K23" s="209"/>
      <c r="L23" s="211"/>
      <c r="M23" s="209">
        <f t="shared" ca="1" si="19"/>
        <v>0</v>
      </c>
      <c r="N23" s="208"/>
      <c r="O23" s="209"/>
      <c r="P23" s="210"/>
      <c r="Q23" s="113">
        <v>3</v>
      </c>
      <c r="R23" s="126"/>
      <c r="S23" s="115" t="str">
        <f>IF(OR(T23="Preventivo",T23="Detectivo"),"Probabilidad",IF(T23="Correctivo","Impacto",""))</f>
        <v/>
      </c>
      <c r="T23" s="116"/>
      <c r="U23" s="116"/>
      <c r="V23" s="117" t="str">
        <f t="shared" si="20"/>
        <v/>
      </c>
      <c r="W23" s="116"/>
      <c r="X23" s="116"/>
      <c r="Y23" s="116"/>
      <c r="Z23" s="118" t="str">
        <f>IFERROR(IF(AND(S22="Probabilidad",S23="Probabilidad"),(AB22-(+AB22*V23)),IF(AND(S22="Impacto",S23="Probabilidad"),(AB21-(+AB21*V23)),IF(S23="Impacto",AB22,""))),"")</f>
        <v/>
      </c>
      <c r="AA23" s="119" t="str">
        <f t="shared" si="0"/>
        <v/>
      </c>
      <c r="AB23" s="117" t="str">
        <f t="shared" si="21"/>
        <v/>
      </c>
      <c r="AC23" s="119" t="str">
        <f t="shared" si="2"/>
        <v/>
      </c>
      <c r="AD23" s="117" t="str">
        <f>IFERROR(IF(AND(S22="Impacto",S23="Impacto"),(AD22-(+AD22*V23)),IF(AND(S22="Probabilidad",S23="Impacto"),(AD21-(+AD21*V23)),IF(S23="Probabilidad",AD22,""))),"")</f>
        <v/>
      </c>
      <c r="AE23" s="120" t="str">
        <f t="shared" si="22"/>
        <v/>
      </c>
      <c r="AF23" s="116"/>
      <c r="AG23" s="121"/>
      <c r="AH23" s="122"/>
      <c r="AI23" s="123"/>
      <c r="AJ23" s="123"/>
      <c r="AK23" s="121"/>
      <c r="AL23" s="122"/>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row>
    <row r="24" spans="1:70" ht="102" customHeight="1" x14ac:dyDescent="0.3">
      <c r="A24" s="216"/>
      <c r="B24" s="224"/>
      <c r="C24" s="221"/>
      <c r="D24" s="217"/>
      <c r="E24" s="212"/>
      <c r="F24" s="212"/>
      <c r="G24" s="217"/>
      <c r="H24" s="214"/>
      <c r="I24" s="218"/>
      <c r="J24" s="208"/>
      <c r="K24" s="209"/>
      <c r="L24" s="211"/>
      <c r="M24" s="209">
        <f t="shared" ca="1" si="19"/>
        <v>0</v>
      </c>
      <c r="N24" s="208"/>
      <c r="O24" s="209"/>
      <c r="P24" s="210"/>
      <c r="Q24" s="113">
        <v>4</v>
      </c>
      <c r="R24" s="114"/>
      <c r="S24" s="115" t="str">
        <f t="shared" ref="S24:S26" si="23">IF(OR(T24="Preventivo",T24="Detectivo"),"Probabilidad",IF(T24="Correctivo","Impacto",""))</f>
        <v/>
      </c>
      <c r="T24" s="116"/>
      <c r="U24" s="116"/>
      <c r="V24" s="117" t="str">
        <f t="shared" si="20"/>
        <v/>
      </c>
      <c r="W24" s="116"/>
      <c r="X24" s="116"/>
      <c r="Y24" s="116"/>
      <c r="Z24" s="118" t="str">
        <f t="shared" ref="Z24:Z26" si="24">IFERROR(IF(AND(S23="Probabilidad",S24="Probabilidad"),(AB23-(+AB23*V24)),IF(AND(S23="Impacto",S24="Probabilidad"),(AB22-(+AB22*V24)),IF(S24="Impacto",AB23,""))),"")</f>
        <v/>
      </c>
      <c r="AA24" s="119" t="str">
        <f t="shared" si="0"/>
        <v/>
      </c>
      <c r="AB24" s="117" t="str">
        <f t="shared" si="21"/>
        <v/>
      </c>
      <c r="AC24" s="119" t="str">
        <f t="shared" si="2"/>
        <v/>
      </c>
      <c r="AD24" s="117" t="str">
        <f t="shared" ref="AD24:AD26" si="25">IFERROR(IF(AND(S23="Impacto",S24="Impacto"),(AD23-(+AD23*V24)),IF(AND(S23="Probabilidad",S24="Impacto"),(AD22-(+AD22*V24)),IF(S24="Probabilidad",AD23,""))),"")</f>
        <v/>
      </c>
      <c r="AE24" s="120" t="str">
        <f>IFERROR(IF(OR(AND(AA24="Muy Baja",AC24="Leve"),AND(AA24="Muy Baja",AC24="Menor"),AND(AA24="Baja",AC24="Leve")),"Bajo",IF(OR(AND(AA24="Muy baja",AC24="Moderado"),AND(AA24="Baja",AC24="Menor"),AND(AA24="Baja",AC24="Moderado"),AND(AA24="Media",AC24="Leve"),AND(AA24="Media",AC24="Menor"),AND(AA24="Media",AC24="Moderado"),AND(AA24="Alta",AC24="Leve"),AND(AA24="Alta",AC24="Menor")),"Moderado",IF(OR(AND(AA24="Muy Baja",AC24="Mayor"),AND(AA24="Baja",AC24="Mayor"),AND(AA24="Media",AC24="Mayor"),AND(AA24="Alta",AC24="Moderado"),AND(AA24="Alta",AC24="Mayor"),AND(AA24="Muy Alta",AC24="Leve"),AND(AA24="Muy Alta",AC24="Menor"),AND(AA24="Muy Alta",AC24="Moderado"),AND(AA24="Muy Alta",AC24="Mayor")),"Alto",IF(OR(AND(AA24="Muy Baja",AC24="Catastrófico"),AND(AA24="Baja",AC24="Catastrófico"),AND(AA24="Media",AC24="Catastrófico"),AND(AA24="Alta",AC24="Catastrófico"),AND(AA24="Muy Alta",AC24="Catastrófico")),"Extremo","")))),"")</f>
        <v/>
      </c>
      <c r="AF24" s="116"/>
      <c r="AG24" s="121"/>
      <c r="AH24" s="122"/>
      <c r="AI24" s="123"/>
      <c r="AJ24" s="123"/>
      <c r="AK24" s="121"/>
      <c r="AL24" s="122"/>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row>
    <row r="25" spans="1:70" ht="130.5" customHeight="1" x14ac:dyDescent="0.3">
      <c r="A25" s="216"/>
      <c r="B25" s="224"/>
      <c r="C25" s="221"/>
      <c r="D25" s="217"/>
      <c r="E25" s="212"/>
      <c r="F25" s="212"/>
      <c r="G25" s="217"/>
      <c r="H25" s="214"/>
      <c r="I25" s="218"/>
      <c r="J25" s="208"/>
      <c r="K25" s="209"/>
      <c r="L25" s="211"/>
      <c r="M25" s="209">
        <f t="shared" ca="1" si="19"/>
        <v>0</v>
      </c>
      <c r="N25" s="208"/>
      <c r="O25" s="209"/>
      <c r="P25" s="210"/>
      <c r="Q25" s="113">
        <v>5</v>
      </c>
      <c r="R25" s="114"/>
      <c r="S25" s="115" t="str">
        <f t="shared" si="23"/>
        <v/>
      </c>
      <c r="T25" s="116"/>
      <c r="U25" s="116"/>
      <c r="V25" s="117" t="str">
        <f t="shared" si="20"/>
        <v/>
      </c>
      <c r="W25" s="116"/>
      <c r="X25" s="116"/>
      <c r="Y25" s="116"/>
      <c r="Z25" s="118" t="str">
        <f t="shared" si="24"/>
        <v/>
      </c>
      <c r="AA25" s="119" t="str">
        <f t="shared" si="0"/>
        <v/>
      </c>
      <c r="AB25" s="117" t="str">
        <f t="shared" si="21"/>
        <v/>
      </c>
      <c r="AC25" s="119" t="str">
        <f t="shared" si="2"/>
        <v/>
      </c>
      <c r="AD25" s="117" t="str">
        <f t="shared" si="25"/>
        <v/>
      </c>
      <c r="AE25" s="120" t="str">
        <f t="shared" ref="AE25:AE26" si="26">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
      </c>
      <c r="AF25" s="116"/>
      <c r="AG25" s="121"/>
      <c r="AH25" s="122"/>
      <c r="AI25" s="123"/>
      <c r="AJ25" s="123"/>
      <c r="AK25" s="121"/>
      <c r="AL25" s="122"/>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1:70" ht="118.5" customHeight="1" x14ac:dyDescent="0.3">
      <c r="A26" s="216"/>
      <c r="B26" s="225"/>
      <c r="C26" s="222"/>
      <c r="D26" s="217"/>
      <c r="E26" s="212"/>
      <c r="F26" s="212"/>
      <c r="G26" s="217"/>
      <c r="H26" s="215"/>
      <c r="I26" s="218"/>
      <c r="J26" s="208"/>
      <c r="K26" s="209"/>
      <c r="L26" s="211"/>
      <c r="M26" s="209">
        <f t="shared" ca="1" si="19"/>
        <v>0</v>
      </c>
      <c r="N26" s="208"/>
      <c r="O26" s="209"/>
      <c r="P26" s="210"/>
      <c r="Q26" s="113">
        <v>6</v>
      </c>
      <c r="R26" s="114"/>
      <c r="S26" s="115" t="str">
        <f t="shared" si="23"/>
        <v/>
      </c>
      <c r="T26" s="116"/>
      <c r="U26" s="116"/>
      <c r="V26" s="117" t="str">
        <f t="shared" si="20"/>
        <v/>
      </c>
      <c r="W26" s="116"/>
      <c r="X26" s="116"/>
      <c r="Y26" s="116"/>
      <c r="Z26" s="118" t="str">
        <f t="shared" si="24"/>
        <v/>
      </c>
      <c r="AA26" s="119" t="str">
        <f t="shared" si="0"/>
        <v/>
      </c>
      <c r="AB26" s="117" t="str">
        <f t="shared" si="21"/>
        <v/>
      </c>
      <c r="AC26" s="119" t="str">
        <f t="shared" si="2"/>
        <v/>
      </c>
      <c r="AD26" s="117" t="str">
        <f t="shared" si="25"/>
        <v/>
      </c>
      <c r="AE26" s="120" t="str">
        <f t="shared" si="26"/>
        <v/>
      </c>
      <c r="AF26" s="116"/>
      <c r="AG26" s="121"/>
      <c r="AH26" s="122"/>
      <c r="AI26" s="123"/>
      <c r="AJ26" s="123"/>
      <c r="AK26" s="121"/>
      <c r="AL26" s="122"/>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1:70" ht="187.5" customHeight="1" x14ac:dyDescent="0.3">
      <c r="A27" s="216">
        <v>4</v>
      </c>
      <c r="B27" s="223"/>
      <c r="C27" s="220" t="s">
        <v>215</v>
      </c>
      <c r="D27" s="217" t="s">
        <v>242</v>
      </c>
      <c r="E27" s="212" t="s">
        <v>236</v>
      </c>
      <c r="F27" s="212" t="s">
        <v>236</v>
      </c>
      <c r="G27" s="217" t="s">
        <v>243</v>
      </c>
      <c r="H27" s="213" t="s">
        <v>210</v>
      </c>
      <c r="I27" s="218">
        <v>200</v>
      </c>
      <c r="J27" s="208" t="str">
        <f>IF(I27&lt;=0,"",IF(I27&lt;=2,"Muy Baja",IF(I27&lt;=24,"Baja",IF(I27&lt;=500,"Media",IF(I27&lt;=5000,"Alta","Muy Alta")))))</f>
        <v>Media</v>
      </c>
      <c r="K27" s="209">
        <f>IF(J27="","",IF(J27="Muy Baja",0.2,IF(J27="Baja",0.4,IF(J27="Media",0.6,IF(J27="Alta",0.8,IF(J27="Muy Alta",1,))))))</f>
        <v>0.6</v>
      </c>
      <c r="L27" s="211" t="s">
        <v>144</v>
      </c>
      <c r="M27" s="209" t="str">
        <f>IF(NOT(ISERROR(MATCH(L27,'Tabla Impacto'!$B$221:$B$223,0))),'Tabla Impacto'!$F$223&amp;"Por favor no seleccionar los criterios de impacto(Afectación Económica o presupuestal y Pérdida Reputacional)",L27)</f>
        <v xml:space="preserve">     Entre 100 y 500 SMLMV </v>
      </c>
      <c r="N27" s="208" t="str">
        <f>IF(OR(M27='Tabla Impacto'!$C$11,M27='Tabla Impacto'!$D$11),"Leve",IF(OR(M27='Tabla Impacto'!$C$12,M27='Tabla Impacto'!$D$12),"Menor",IF(OR(M27='Tabla Impacto'!$C$13,M27='Tabla Impacto'!$D$13),"Moderado",IF(OR(M27='Tabla Impacto'!$C$14,M27='Tabla Impacto'!$D$14),"Mayor",IF(OR(M27='Tabla Impacto'!$C$15,M27='Tabla Impacto'!$D$15),"Catastrófico","")))))</f>
        <v>Mayor</v>
      </c>
      <c r="O27" s="209">
        <f>IF(N27="","",IF(N27="Leve",0.2,IF(N27="Menor",0.4,IF(N27="Moderado",0.6,IF(N27="Mayor",0.8,IF(N27="Catastrófico",1,))))))</f>
        <v>0.8</v>
      </c>
      <c r="P27" s="210" t="str">
        <f>IF(OR(AND(J27="Muy Baja",N27="Leve"),AND(J27="Muy Baja",N27="Menor"),AND(J27="Baja",N27="Leve")),"Bajo",IF(OR(AND(J27="Muy baja",N27="Moderado"),AND(J27="Baja",N27="Menor"),AND(J27="Baja",N27="Moderado"),AND(J27="Media",N27="Leve"),AND(J27="Media",N27="Menor"),AND(J27="Media",N27="Moderado"),AND(J27="Alta",N27="Leve"),AND(J27="Alta",N27="Menor")),"Moderado",IF(OR(AND(J27="Muy Baja",N27="Mayor"),AND(J27="Baja",N27="Mayor"),AND(J27="Media",N27="Mayor"),AND(J27="Alta",N27="Moderado"),AND(J27="Alta",N27="Mayor"),AND(J27="Muy Alta",N27="Leve"),AND(J27="Muy Alta",N27="Menor"),AND(J27="Muy Alta",N27="Moderado"),AND(J27="Muy Alta",N27="Mayor")),"Alto",IF(OR(AND(J27="Muy Baja",N27="Catastrófico"),AND(J27="Baja",N27="Catastrófico"),AND(J27="Media",N27="Catastrófico"),AND(J27="Alta",N27="Catastrófico"),AND(J27="Muy Alta",N27="Catastrófico")),"Extremo",""))))</f>
        <v>Alto</v>
      </c>
      <c r="Q27" s="113">
        <v>1</v>
      </c>
      <c r="R27" s="157" t="s">
        <v>237</v>
      </c>
      <c r="S27" s="115" t="str">
        <f>IF(OR(T27="Preventivo",T27="Detectivo"),"Probabilidad",IF(T27="Correctivo","Impacto",""))</f>
        <v>Probabilidad</v>
      </c>
      <c r="T27" s="116" t="s">
        <v>14</v>
      </c>
      <c r="U27" s="116" t="s">
        <v>8</v>
      </c>
      <c r="V27" s="117" t="str">
        <f>IF(AND(T27="Preventivo",U27="Automático"),"50%",IF(AND(T27="Preventivo",U27="Manual"),"40%",IF(AND(T27="Detectivo",U27="Automático"),"40%",IF(AND(T27="Detectivo",U27="Manual"),"30%",IF(AND(T27="Correctivo",U27="Automático"),"35%",IF(AND(T27="Correctivo",U27="Manual"),"25%",""))))))</f>
        <v>30%</v>
      </c>
      <c r="W27" s="116" t="s">
        <v>18</v>
      </c>
      <c r="X27" s="116" t="s">
        <v>21</v>
      </c>
      <c r="Y27" s="116" t="s">
        <v>115</v>
      </c>
      <c r="Z27" s="118">
        <f>IFERROR(IF(S27="Probabilidad",(K27-(+K27*V27)),IF(S27="Impacto",K27,"")),"")</f>
        <v>0.42</v>
      </c>
      <c r="AA27" s="119" t="str">
        <f>IFERROR(IF(Z27="","",IF(Z27&lt;=0.2,"Muy Baja",IF(Z27&lt;=0.4,"Baja",IF(Z27&lt;=0.6,"Media",IF(Z27&lt;=0.8,"Alta","Muy Alta"))))),"")</f>
        <v>Media</v>
      </c>
      <c r="AB27" s="117">
        <f>+Z27</f>
        <v>0.42</v>
      </c>
      <c r="AC27" s="119" t="str">
        <f>IFERROR(IF(AD27="","",IF(AD27&lt;=0.2,"Leve",IF(AD27&lt;=0.4,"Menor",IF(AD27&lt;=0.6,"Moderado",IF(AD27&lt;=0.8,"Mayor","Catastrófico"))))),"")</f>
        <v>Mayor</v>
      </c>
      <c r="AD27" s="117">
        <f>IFERROR(IF(S27="Impacto",(O27-(+O27*V27)),IF(S27="Probabilidad",O27,"")),"")</f>
        <v>0.8</v>
      </c>
      <c r="AE27" s="120" t="str">
        <f>IFERROR(IF(OR(AND(AA27="Muy Baja",AC27="Leve"),AND(AA27="Muy Baja",AC27="Menor"),AND(AA27="Baja",AC27="Leve")),"Bajo",IF(OR(AND(AA27="Muy baja",AC27="Moderado"),AND(AA27="Baja",AC27="Menor"),AND(AA27="Baja",AC27="Moderado"),AND(AA27="Media",AC27="Leve"),AND(AA27="Media",AC27="Menor"),AND(AA27="Media",AC27="Moderado"),AND(AA27="Alta",AC27="Leve"),AND(AA27="Alta",AC27="Menor")),"Moderado",IF(OR(AND(AA27="Muy Baja",AC27="Mayor"),AND(AA27="Baja",AC27="Mayor"),AND(AA27="Media",AC27="Mayor"),AND(AA27="Alta",AC27="Moderado"),AND(AA27="Alta",AC27="Mayor"),AND(AA27="Muy Alta",AC27="Leve"),AND(AA27="Muy Alta",AC27="Menor"),AND(AA27="Muy Alta",AC27="Moderado"),AND(AA27="Muy Alta",AC27="Mayor")),"Alto",IF(OR(AND(AA27="Muy Baja",AC27="Catastrófico"),AND(AA27="Baja",AC27="Catastrófico"),AND(AA27="Media",AC27="Catastrófico"),AND(AA27="Alta",AC27="Catastrófico"),AND(AA27="Muy Alta",AC27="Catastrófico")),"Extremo","")))),"")</f>
        <v>Alto</v>
      </c>
      <c r="AF27" s="116" t="s">
        <v>130</v>
      </c>
      <c r="AG27" s="162" t="s">
        <v>239</v>
      </c>
      <c r="AH27" s="159" t="s">
        <v>240</v>
      </c>
      <c r="AI27" s="123">
        <v>44423</v>
      </c>
      <c r="AJ27" s="123">
        <v>44560</v>
      </c>
      <c r="AK27" s="161" t="s">
        <v>249</v>
      </c>
      <c r="AL27" s="122" t="s">
        <v>39</v>
      </c>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row>
    <row r="28" spans="1:70" ht="144" customHeight="1" x14ac:dyDescent="0.3">
      <c r="A28" s="216"/>
      <c r="B28" s="224"/>
      <c r="C28" s="221"/>
      <c r="D28" s="217"/>
      <c r="E28" s="212"/>
      <c r="F28" s="212"/>
      <c r="G28" s="217"/>
      <c r="H28" s="214"/>
      <c r="I28" s="218"/>
      <c r="J28" s="208"/>
      <c r="K28" s="209"/>
      <c r="L28" s="211"/>
      <c r="M28" s="209">
        <f t="shared" ref="M28:M32" ca="1" si="27">IF(NOT(ISERROR(MATCH(L28,_xlfn.ANCHORARRAY(E39),0))),K41&amp;"Por favor no seleccionar los criterios de impacto",L28)</f>
        <v>0</v>
      </c>
      <c r="N28" s="208"/>
      <c r="O28" s="209"/>
      <c r="P28" s="210"/>
      <c r="Q28" s="113">
        <v>2</v>
      </c>
      <c r="R28" s="157" t="s">
        <v>238</v>
      </c>
      <c r="S28" s="115" t="str">
        <f>IF(OR(T28="Preventivo",T28="Detectivo"),"Probabilidad",IF(T28="Correctivo","Impacto",""))</f>
        <v>Probabilidad</v>
      </c>
      <c r="T28" s="116" t="s">
        <v>13</v>
      </c>
      <c r="U28" s="116" t="s">
        <v>8</v>
      </c>
      <c r="V28" s="117" t="str">
        <f t="shared" ref="V28:V32" si="28">IF(AND(T28="Preventivo",U28="Automático"),"50%",IF(AND(T28="Preventivo",U28="Manual"),"40%",IF(AND(T28="Detectivo",U28="Automático"),"40%",IF(AND(T28="Detectivo",U28="Manual"),"30%",IF(AND(T28="Correctivo",U28="Automático"),"35%",IF(AND(T28="Correctivo",U28="Manual"),"25%",""))))))</f>
        <v>40%</v>
      </c>
      <c r="W28" s="116" t="s">
        <v>19</v>
      </c>
      <c r="X28" s="116" t="s">
        <v>22</v>
      </c>
      <c r="Y28" s="116" t="s">
        <v>116</v>
      </c>
      <c r="Z28" s="118">
        <f>IFERROR(IF(AND(S27="Probabilidad",S28="Probabilidad"),(AB27-(+AB27*V28)),IF(S28="Probabilidad",(K27-(+K27*V28)),IF(S28="Impacto",AB27,""))),"")</f>
        <v>0.252</v>
      </c>
      <c r="AA28" s="119" t="str">
        <f t="shared" si="0"/>
        <v>Baja</v>
      </c>
      <c r="AB28" s="117">
        <f t="shared" ref="AB28:AB32" si="29">+Z28</f>
        <v>0.252</v>
      </c>
      <c r="AC28" s="119" t="str">
        <f t="shared" si="2"/>
        <v>Moderado</v>
      </c>
      <c r="AD28" s="117">
        <f>IFERROR(IF(AND(S27="Impacto",S28="Impacto"),(AD21-(+AD21*V28)),IF(S28="Impacto",($O$27-(+$O$27*V28)),IF(S28="Probabilidad",AD21,""))),"")</f>
        <v>0.6</v>
      </c>
      <c r="AE28" s="120" t="str">
        <f t="shared" ref="AE28:AE29" si="30">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Moderado</v>
      </c>
      <c r="AF28" s="116" t="s">
        <v>130</v>
      </c>
      <c r="AG28" s="162" t="s">
        <v>241</v>
      </c>
      <c r="AH28" s="160" t="s">
        <v>240</v>
      </c>
      <c r="AI28" s="123">
        <v>44423</v>
      </c>
      <c r="AJ28" s="123">
        <v>44560</v>
      </c>
      <c r="AK28" s="161" t="s">
        <v>250</v>
      </c>
      <c r="AL28" s="122" t="s">
        <v>39</v>
      </c>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row>
    <row r="29" spans="1:70" ht="79.5" customHeight="1" x14ac:dyDescent="0.3">
      <c r="A29" s="216"/>
      <c r="B29" s="224"/>
      <c r="C29" s="221"/>
      <c r="D29" s="217"/>
      <c r="E29" s="212"/>
      <c r="F29" s="212"/>
      <c r="G29" s="217"/>
      <c r="H29" s="214"/>
      <c r="I29" s="218"/>
      <c r="J29" s="208"/>
      <c r="K29" s="209"/>
      <c r="L29" s="211"/>
      <c r="M29" s="209">
        <f t="shared" ca="1" si="27"/>
        <v>0</v>
      </c>
      <c r="N29" s="208"/>
      <c r="O29" s="209"/>
      <c r="P29" s="210"/>
      <c r="Q29" s="113">
        <v>3</v>
      </c>
      <c r="R29" s="126"/>
      <c r="S29" s="115" t="str">
        <f>IF(OR(T29="Preventivo",T29="Detectivo"),"Probabilidad",IF(T29="Correctivo","Impacto",""))</f>
        <v/>
      </c>
      <c r="T29" s="116"/>
      <c r="U29" s="116"/>
      <c r="V29" s="117" t="str">
        <f t="shared" si="28"/>
        <v/>
      </c>
      <c r="W29" s="116"/>
      <c r="X29" s="116"/>
      <c r="Y29" s="116"/>
      <c r="Z29" s="118" t="str">
        <f>IFERROR(IF(AND(S28="Probabilidad",S29="Probabilidad"),(AB28-(+AB28*V29)),IF(AND(S28="Impacto",S29="Probabilidad"),(AB27-(+AB27*V29)),IF(S29="Impacto",AB28,""))),"")</f>
        <v/>
      </c>
      <c r="AA29" s="119" t="str">
        <f t="shared" si="0"/>
        <v/>
      </c>
      <c r="AB29" s="117" t="str">
        <f t="shared" si="29"/>
        <v/>
      </c>
      <c r="AC29" s="119" t="str">
        <f t="shared" si="2"/>
        <v/>
      </c>
      <c r="AD29" s="117" t="str">
        <f>IFERROR(IF(AND(S28="Impacto",S29="Impacto"),(AD28-(+AD28*V29)),IF(AND(S28="Probabilidad",S29="Impacto"),(AD27-(+AD27*V29)),IF(S29="Probabilidad",AD28,""))),"")</f>
        <v/>
      </c>
      <c r="AE29" s="120" t="str">
        <f t="shared" si="30"/>
        <v/>
      </c>
      <c r="AF29" s="116"/>
      <c r="AG29" s="121"/>
      <c r="AH29" s="122"/>
      <c r="AI29" s="123"/>
      <c r="AJ29" s="123"/>
      <c r="AK29" s="121"/>
      <c r="AL29" s="122"/>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row>
    <row r="30" spans="1:70" ht="66.75" customHeight="1" x14ac:dyDescent="0.3">
      <c r="A30" s="216"/>
      <c r="B30" s="224"/>
      <c r="C30" s="221"/>
      <c r="D30" s="217"/>
      <c r="E30" s="212"/>
      <c r="F30" s="212"/>
      <c r="G30" s="217"/>
      <c r="H30" s="214"/>
      <c r="I30" s="218"/>
      <c r="J30" s="208"/>
      <c r="K30" s="209"/>
      <c r="L30" s="211"/>
      <c r="M30" s="209">
        <f t="shared" ca="1" si="27"/>
        <v>0</v>
      </c>
      <c r="N30" s="208"/>
      <c r="O30" s="209"/>
      <c r="P30" s="210"/>
      <c r="Q30" s="113">
        <v>4</v>
      </c>
      <c r="R30" s="114"/>
      <c r="S30" s="115" t="str">
        <f t="shared" ref="S30:S32" si="31">IF(OR(T30="Preventivo",T30="Detectivo"),"Probabilidad",IF(T30="Correctivo","Impacto",""))</f>
        <v/>
      </c>
      <c r="T30" s="116"/>
      <c r="U30" s="116"/>
      <c r="V30" s="117" t="str">
        <f t="shared" si="28"/>
        <v/>
      </c>
      <c r="W30" s="116"/>
      <c r="X30" s="116"/>
      <c r="Y30" s="116"/>
      <c r="Z30" s="118" t="str">
        <f t="shared" ref="Z30:Z32" si="32">IFERROR(IF(AND(S29="Probabilidad",S30="Probabilidad"),(AB29-(+AB29*V30)),IF(AND(S29="Impacto",S30="Probabilidad"),(AB28-(+AB28*V30)),IF(S30="Impacto",AB29,""))),"")</f>
        <v/>
      </c>
      <c r="AA30" s="119" t="str">
        <f t="shared" si="0"/>
        <v/>
      </c>
      <c r="AB30" s="117" t="str">
        <f t="shared" si="29"/>
        <v/>
      </c>
      <c r="AC30" s="119" t="str">
        <f t="shared" si="2"/>
        <v/>
      </c>
      <c r="AD30" s="117" t="str">
        <f t="shared" ref="AD30:AD32" si="33">IFERROR(IF(AND(S29="Impacto",S30="Impacto"),(AD29-(+AD29*V30)),IF(AND(S29="Probabilidad",S30="Impacto"),(AD28-(+AD28*V30)),IF(S30="Probabilidad",AD29,""))),"")</f>
        <v/>
      </c>
      <c r="AE30" s="120" t="str">
        <f>IFERROR(IF(OR(AND(AA30="Muy Baja",AC30="Leve"),AND(AA30="Muy Baja",AC30="Menor"),AND(AA30="Baja",AC30="Leve")),"Bajo",IF(OR(AND(AA30="Muy baja",AC30="Moderado"),AND(AA30="Baja",AC30="Menor"),AND(AA30="Baja",AC30="Moderado"),AND(AA30="Media",AC30="Leve"),AND(AA30="Media",AC30="Menor"),AND(AA30="Media",AC30="Moderado"),AND(AA30="Alta",AC30="Leve"),AND(AA30="Alta",AC30="Menor")),"Moderado",IF(OR(AND(AA30="Muy Baja",AC30="Mayor"),AND(AA30="Baja",AC30="Mayor"),AND(AA30="Media",AC30="Mayor"),AND(AA30="Alta",AC30="Moderado"),AND(AA30="Alta",AC30="Mayor"),AND(AA30="Muy Alta",AC30="Leve"),AND(AA30="Muy Alta",AC30="Menor"),AND(AA30="Muy Alta",AC30="Moderado"),AND(AA30="Muy Alta",AC30="Mayor")),"Alto",IF(OR(AND(AA30="Muy Baja",AC30="Catastrófico"),AND(AA30="Baja",AC30="Catastrófico"),AND(AA30="Media",AC30="Catastrófico"),AND(AA30="Alta",AC30="Catastrófico"),AND(AA30="Muy Alta",AC30="Catastrófico")),"Extremo","")))),"")</f>
        <v/>
      </c>
      <c r="AF30" s="116"/>
      <c r="AG30" s="121"/>
      <c r="AH30" s="122"/>
      <c r="AI30" s="123"/>
      <c r="AJ30" s="123"/>
      <c r="AK30" s="121"/>
      <c r="AL30" s="122"/>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row>
    <row r="31" spans="1:70" ht="81.75" customHeight="1" x14ac:dyDescent="0.3">
      <c r="A31" s="216"/>
      <c r="B31" s="224"/>
      <c r="C31" s="221"/>
      <c r="D31" s="217"/>
      <c r="E31" s="212"/>
      <c r="F31" s="212"/>
      <c r="G31" s="217"/>
      <c r="H31" s="214"/>
      <c r="I31" s="218"/>
      <c r="J31" s="208"/>
      <c r="K31" s="209"/>
      <c r="L31" s="211"/>
      <c r="M31" s="209">
        <f t="shared" ca="1" si="27"/>
        <v>0</v>
      </c>
      <c r="N31" s="208"/>
      <c r="O31" s="209"/>
      <c r="P31" s="210"/>
      <c r="Q31" s="113">
        <v>5</v>
      </c>
      <c r="R31" s="114"/>
      <c r="S31" s="115" t="str">
        <f t="shared" si="31"/>
        <v/>
      </c>
      <c r="T31" s="116"/>
      <c r="U31" s="116"/>
      <c r="V31" s="117" t="str">
        <f t="shared" si="28"/>
        <v/>
      </c>
      <c r="W31" s="116"/>
      <c r="X31" s="116"/>
      <c r="Y31" s="116"/>
      <c r="Z31" s="127" t="str">
        <f t="shared" si="32"/>
        <v/>
      </c>
      <c r="AA31" s="119" t="str">
        <f>IFERROR(IF(Z31="","",IF(Z31&lt;=0.2,"Muy Baja",IF(Z31&lt;=0.4,"Baja",IF(Z31&lt;=0.6,"Media",IF(Z31&lt;=0.8,"Alta","Muy Alta"))))),"")</f>
        <v/>
      </c>
      <c r="AB31" s="117" t="str">
        <f t="shared" si="29"/>
        <v/>
      </c>
      <c r="AC31" s="119" t="str">
        <f t="shared" si="2"/>
        <v/>
      </c>
      <c r="AD31" s="117" t="str">
        <f t="shared" si="33"/>
        <v/>
      </c>
      <c r="AE31" s="120" t="str">
        <f t="shared" ref="AE31:AE32" si="34">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
      </c>
      <c r="AF31" s="116"/>
      <c r="AG31" s="121"/>
      <c r="AH31" s="122"/>
      <c r="AI31" s="123"/>
      <c r="AJ31" s="123"/>
      <c r="AK31" s="121"/>
      <c r="AL31" s="122"/>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0" ht="130.5" customHeight="1" x14ac:dyDescent="0.3">
      <c r="A32" s="216"/>
      <c r="B32" s="225"/>
      <c r="C32" s="222"/>
      <c r="D32" s="217"/>
      <c r="E32" s="212"/>
      <c r="F32" s="212"/>
      <c r="G32" s="217"/>
      <c r="H32" s="215"/>
      <c r="I32" s="218"/>
      <c r="J32" s="208"/>
      <c r="K32" s="209"/>
      <c r="L32" s="211"/>
      <c r="M32" s="209">
        <f t="shared" ca="1" si="27"/>
        <v>0</v>
      </c>
      <c r="N32" s="208"/>
      <c r="O32" s="209"/>
      <c r="P32" s="210"/>
      <c r="Q32" s="113">
        <v>6</v>
      </c>
      <c r="R32" s="114"/>
      <c r="S32" s="115" t="str">
        <f t="shared" si="31"/>
        <v/>
      </c>
      <c r="T32" s="116"/>
      <c r="U32" s="116"/>
      <c r="V32" s="117" t="str">
        <f t="shared" si="28"/>
        <v/>
      </c>
      <c r="W32" s="116"/>
      <c r="X32" s="116"/>
      <c r="Y32" s="116"/>
      <c r="Z32" s="118" t="str">
        <f t="shared" si="32"/>
        <v/>
      </c>
      <c r="AA32" s="119" t="str">
        <f t="shared" si="0"/>
        <v/>
      </c>
      <c r="AB32" s="117" t="str">
        <f t="shared" si="29"/>
        <v/>
      </c>
      <c r="AC32" s="119" t="str">
        <f t="shared" si="2"/>
        <v/>
      </c>
      <c r="AD32" s="117" t="str">
        <f t="shared" si="33"/>
        <v/>
      </c>
      <c r="AE32" s="120" t="str">
        <f t="shared" si="34"/>
        <v/>
      </c>
      <c r="AF32" s="116"/>
      <c r="AG32" s="121"/>
      <c r="AH32" s="122"/>
      <c r="AI32" s="123"/>
      <c r="AJ32" s="123"/>
      <c r="AK32" s="121"/>
      <c r="AL32" s="122"/>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1:70" ht="117.75" customHeight="1" x14ac:dyDescent="0.3">
      <c r="A33" s="216">
        <v>5</v>
      </c>
      <c r="B33" s="223"/>
      <c r="C33" s="220" t="s">
        <v>215</v>
      </c>
      <c r="D33" s="217" t="s">
        <v>245</v>
      </c>
      <c r="E33" s="212" t="s">
        <v>244</v>
      </c>
      <c r="F33" s="212" t="s">
        <v>236</v>
      </c>
      <c r="G33" s="217" t="s">
        <v>217</v>
      </c>
      <c r="H33" s="213" t="s">
        <v>210</v>
      </c>
      <c r="I33" s="218">
        <v>100</v>
      </c>
      <c r="J33" s="208" t="str">
        <f>IF(I33&lt;=0,"",IF(I33&lt;=2,"Muy Baja",IF(I33&lt;=24,"Baja",IF(I33&lt;=500,"Media",IF(I33&lt;=5000,"Alta","Muy Alta")))))</f>
        <v>Media</v>
      </c>
      <c r="K33" s="209">
        <f>IF(J33="","",IF(J33="Muy Baja",0.2,IF(J33="Baja",0.4,IF(J33="Media",0.6,IF(J33="Alta",0.8,IF(J33="Muy Alta",1,))))))</f>
        <v>0.6</v>
      </c>
      <c r="L33" s="211" t="s">
        <v>146</v>
      </c>
      <c r="M33" s="209" t="str">
        <f>IF(NOT(ISERROR(MATCH(L33,'Tabla Impacto'!$B$221:$B$223,0))),'Tabla Impacto'!$F$223&amp;"Por favor no seleccionar los criterios de impacto(Afectación Económica o presupuestal y Pérdida Reputacional)",L33)</f>
        <v xml:space="preserve">     El riesgo afecta la imagen de alguna área de la organización</v>
      </c>
      <c r="N33" s="208" t="str">
        <f>IF(OR(M33='Tabla Impacto'!$C$11,M33='Tabla Impacto'!$D$11),"Leve",IF(OR(M33='Tabla Impacto'!$C$12,M33='Tabla Impacto'!$D$12),"Menor",IF(OR(M33='Tabla Impacto'!$C$13,M33='Tabla Impacto'!$D$13),"Moderado",IF(OR(M33='Tabla Impacto'!$C$14,M33='Tabla Impacto'!$D$14),"Mayor",IF(OR(M33='Tabla Impacto'!$C$15,M33='Tabla Impacto'!$D$15),"Catastrófico","")))))</f>
        <v>Leve</v>
      </c>
      <c r="O33" s="209">
        <f>IF(N33="","",IF(N33="Leve",0.2,IF(N33="Menor",0.4,IF(N33="Moderado",0.6,IF(N33="Mayor",0.8,IF(N33="Catastrófico",1,))))))</f>
        <v>0.2</v>
      </c>
      <c r="P33" s="210" t="str">
        <f>IF(OR(AND(J33="Muy Baja",N33="Leve"),AND(J33="Muy Baja",N33="Menor"),AND(J33="Baja",N33="Leve")),"Bajo",IF(OR(AND(J33="Muy baja",N33="Moderado"),AND(J33="Baja",N33="Menor"),AND(J33="Baja",N33="Moderado"),AND(J33="Media",N33="Leve"),AND(J33="Media",N33="Menor"),AND(J33="Media",N33="Moderado"),AND(J33="Alta",N33="Leve"),AND(J33="Alta",N33="Menor")),"Moderado",IF(OR(AND(J33="Muy Baja",N33="Mayor"),AND(J33="Baja",N33="Mayor"),AND(J33="Media",N33="Mayor"),AND(J33="Alta",N33="Moderado"),AND(J33="Alta",N33="Mayor"),AND(J33="Muy Alta",N33="Leve"),AND(J33="Muy Alta",N33="Menor"),AND(J33="Muy Alta",N33="Moderado"),AND(J33="Muy Alta",N33="Mayor")),"Alto",IF(OR(AND(J33="Muy Baja",N33="Catastrófico"),AND(J33="Baja",N33="Catastrófico"),AND(J33="Media",N33="Catastrófico"),AND(J33="Alta",N33="Catastrófico"),AND(J33="Muy Alta",N33="Catastrófico")),"Extremo",""))))</f>
        <v>Moderado</v>
      </c>
      <c r="Q33" s="154">
        <v>1</v>
      </c>
      <c r="R33" s="157" t="s">
        <v>246</v>
      </c>
      <c r="S33" s="115" t="str">
        <f>IF(OR(T33="Preventivo",T33="Detectivo"),"Probabilidad",IF(T33="Correctivo","Impacto",""))</f>
        <v>Probabilidad</v>
      </c>
      <c r="T33" s="116" t="s">
        <v>13</v>
      </c>
      <c r="U33" s="116" t="s">
        <v>8</v>
      </c>
      <c r="V33" s="117" t="str">
        <f>IF(AND(T33="Preventivo",U33="Automático"),"50%",IF(AND(T33="Preventivo",U33="Manual"),"40%",IF(AND(T33="Detectivo",U33="Automático"),"40%",IF(AND(T33="Detectivo",U33="Manual"),"30%",IF(AND(T33="Correctivo",U33="Automático"),"35%",IF(AND(T33="Correctivo",U33="Manual"),"25%",""))))))</f>
        <v>40%</v>
      </c>
      <c r="W33" s="116" t="s">
        <v>18</v>
      </c>
      <c r="X33" s="116" t="s">
        <v>21</v>
      </c>
      <c r="Y33" s="116" t="s">
        <v>115</v>
      </c>
      <c r="Z33" s="118">
        <f>IFERROR(IF(S33="Probabilidad",(K33-(+K33*V33)),IF(S33="Impacto",K33,"")),"")</f>
        <v>0.36</v>
      </c>
      <c r="AA33" s="119" t="str">
        <f>IFERROR(IF(Z33="","",IF(Z33&lt;=0.2,"Muy Baja",IF(Z33&lt;=0.4,"Baja",IF(Z33&lt;=0.6,"Media",IF(Z33&lt;=0.8,"Alta","Muy Alta"))))),"")</f>
        <v>Baja</v>
      </c>
      <c r="AB33" s="117">
        <f>+Z33</f>
        <v>0.36</v>
      </c>
      <c r="AC33" s="119" t="str">
        <f>IFERROR(IF(AD33="","",IF(AD33&lt;=0.2,"Leve",IF(AD33&lt;=0.4,"Menor",IF(AD33&lt;=0.6,"Moderado",IF(AD33&lt;=0.8,"Mayor","Catastrófico"))))),"")</f>
        <v>Leve</v>
      </c>
      <c r="AD33" s="117">
        <f>IFERROR(IF(S33="Impacto",(O33-(+O33*V33)),IF(S33="Probabilidad",O33,"")),"")</f>
        <v>0.2</v>
      </c>
      <c r="AE33" s="120" t="str">
        <f>IFERROR(IF(OR(AND(AA33="Muy Baja",AC33="Leve"),AND(AA33="Muy Baja",AC33="Menor"),AND(AA33="Baja",AC33="Leve")),"Bajo",IF(OR(AND(AA33="Muy baja",AC33="Moderado"),AND(AA33="Baja",AC33="Menor"),AND(AA33="Baja",AC33="Moderado"),AND(AA33="Media",AC33="Leve"),AND(AA33="Media",AC33="Menor"),AND(AA33="Media",AC33="Moderado"),AND(AA33="Alta",AC33="Leve"),AND(AA33="Alta",AC33="Menor")),"Moderado",IF(OR(AND(AA33="Muy Baja",AC33="Mayor"),AND(AA33="Baja",AC33="Mayor"),AND(AA33="Media",AC33="Mayor"),AND(AA33="Alta",AC33="Moderado"),AND(AA33="Alta",AC33="Mayor"),AND(AA33="Muy Alta",AC33="Leve"),AND(AA33="Muy Alta",AC33="Menor"),AND(AA33="Muy Alta",AC33="Moderado"),AND(AA33="Muy Alta",AC33="Mayor")),"Alto",IF(OR(AND(AA33="Muy Baja",AC33="Catastrófico"),AND(AA33="Baja",AC33="Catastrófico"),AND(AA33="Media",AC33="Catastrófico"),AND(AA33="Alta",AC33="Catastrófico"),AND(AA33="Muy Alta",AC33="Catastrófico")),"Extremo","")))),"")</f>
        <v>Bajo</v>
      </c>
      <c r="AF33" s="116" t="s">
        <v>130</v>
      </c>
      <c r="AG33" s="161" t="s">
        <v>248</v>
      </c>
      <c r="AH33" s="155" t="s">
        <v>221</v>
      </c>
      <c r="AI33" s="123">
        <v>44423</v>
      </c>
      <c r="AJ33" s="123">
        <v>44560</v>
      </c>
      <c r="AK33" s="161" t="s">
        <v>251</v>
      </c>
      <c r="AL33" s="122" t="s">
        <v>39</v>
      </c>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row>
    <row r="34" spans="1:70" ht="138.75" customHeight="1" x14ac:dyDescent="0.3">
      <c r="A34" s="216"/>
      <c r="B34" s="224"/>
      <c r="C34" s="221"/>
      <c r="D34" s="217"/>
      <c r="E34" s="212"/>
      <c r="F34" s="212"/>
      <c r="G34" s="217"/>
      <c r="H34" s="214"/>
      <c r="I34" s="218"/>
      <c r="J34" s="208"/>
      <c r="K34" s="209"/>
      <c r="L34" s="211"/>
      <c r="M34" s="209">
        <f t="shared" ref="M34:M38" ca="1" si="35">IF(NOT(ISERROR(MATCH(L34,_xlfn.ANCHORARRAY(E45),0))),K47&amp;"Por favor no seleccionar los criterios de impacto",L34)</f>
        <v>0</v>
      </c>
      <c r="N34" s="208"/>
      <c r="O34" s="209"/>
      <c r="P34" s="210"/>
      <c r="Q34" s="154">
        <v>2</v>
      </c>
      <c r="R34" s="157" t="s">
        <v>247</v>
      </c>
      <c r="S34" s="115" t="str">
        <f>IF(OR(T34="Preventivo",T34="Detectivo"),"Probabilidad",IF(T34="Correctivo","Impacto",""))</f>
        <v>Probabilidad</v>
      </c>
      <c r="T34" s="116" t="s">
        <v>14</v>
      </c>
      <c r="U34" s="116" t="s">
        <v>8</v>
      </c>
      <c r="V34" s="117" t="str">
        <f t="shared" ref="V34:V38" si="36">IF(AND(T34="Preventivo",U34="Automático"),"50%",IF(AND(T34="Preventivo",U34="Manual"),"40%",IF(AND(T34="Detectivo",U34="Automático"),"40%",IF(AND(T34="Detectivo",U34="Manual"),"30%",IF(AND(T34="Correctivo",U34="Automático"),"35%",IF(AND(T34="Correctivo",U34="Manual"),"25%",""))))))</f>
        <v>30%</v>
      </c>
      <c r="W34" s="116" t="s">
        <v>18</v>
      </c>
      <c r="X34" s="116" t="s">
        <v>22</v>
      </c>
      <c r="Y34" s="116" t="s">
        <v>115</v>
      </c>
      <c r="Z34" s="118">
        <f>IFERROR(IF(AND(S33="Probabilidad",S34="Probabilidad"),(AB33-(+AB33*V34)),IF(S34="Probabilidad",(K33-(+K33*V34)),IF(S34="Impacto",AB33,""))),"")</f>
        <v>0.252</v>
      </c>
      <c r="AA34" s="119" t="str">
        <f t="shared" ref="AA34:AA36" si="37">IFERROR(IF(Z34="","",IF(Z34&lt;=0.2,"Muy Baja",IF(Z34&lt;=0.4,"Baja",IF(Z34&lt;=0.6,"Media",IF(Z34&lt;=0.8,"Alta","Muy Alta"))))),"")</f>
        <v>Baja</v>
      </c>
      <c r="AB34" s="117">
        <f t="shared" ref="AB34:AB38" si="38">+Z34</f>
        <v>0.252</v>
      </c>
      <c r="AC34" s="119" t="str">
        <f t="shared" si="2"/>
        <v>Mayor</v>
      </c>
      <c r="AD34" s="117">
        <f>IFERROR(IF(AND(S33="Impacto",S34="Impacto"),(AD27-(+AD27*V34)),IF(S34="Impacto",($O$33-(+$O$33*V34)),IF(S34="Probabilidad",AD27,""))),"")</f>
        <v>0.8</v>
      </c>
      <c r="AE34" s="120" t="str">
        <f t="shared" ref="AE34:AE35" si="39">IFERROR(IF(OR(AND(AA34="Muy Baja",AC34="Leve"),AND(AA34="Muy Baja",AC34="Menor"),AND(AA34="Baja",AC34="Leve")),"Bajo",IF(OR(AND(AA34="Muy baja",AC34="Moderado"),AND(AA34="Baja",AC34="Menor"),AND(AA34="Baja",AC34="Moderado"),AND(AA34="Media",AC34="Leve"),AND(AA34="Media",AC34="Menor"),AND(AA34="Media",AC34="Moderado"),AND(AA34="Alta",AC34="Leve"),AND(AA34="Alta",AC34="Menor")),"Moderado",IF(OR(AND(AA34="Muy Baja",AC34="Mayor"),AND(AA34="Baja",AC34="Mayor"),AND(AA34="Media",AC34="Mayor"),AND(AA34="Alta",AC34="Moderado"),AND(AA34="Alta",AC34="Mayor"),AND(AA34="Muy Alta",AC34="Leve"),AND(AA34="Muy Alta",AC34="Menor"),AND(AA34="Muy Alta",AC34="Moderado"),AND(AA34="Muy Alta",AC34="Mayor")),"Alto",IF(OR(AND(AA34="Muy Baja",AC34="Catastrófico"),AND(AA34="Baja",AC34="Catastrófico"),AND(AA34="Media",AC34="Catastrófico"),AND(AA34="Alta",AC34="Catastrófico"),AND(AA34="Muy Alta",AC34="Catastrófico")),"Extremo","")))),"")</f>
        <v>Alto</v>
      </c>
      <c r="AF34" s="116" t="s">
        <v>130</v>
      </c>
      <c r="AG34" s="162" t="s">
        <v>239</v>
      </c>
      <c r="AH34" s="160" t="s">
        <v>240</v>
      </c>
      <c r="AI34" s="123">
        <v>44423</v>
      </c>
      <c r="AJ34" s="123">
        <v>44560</v>
      </c>
      <c r="AK34" s="161" t="s">
        <v>249</v>
      </c>
      <c r="AL34" s="122" t="s">
        <v>39</v>
      </c>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row>
    <row r="35" spans="1:70" ht="140.25" customHeight="1" x14ac:dyDescent="0.3">
      <c r="A35" s="216"/>
      <c r="B35" s="224"/>
      <c r="C35" s="221"/>
      <c r="D35" s="217"/>
      <c r="E35" s="212"/>
      <c r="F35" s="212"/>
      <c r="G35" s="217"/>
      <c r="H35" s="214"/>
      <c r="I35" s="218"/>
      <c r="J35" s="208"/>
      <c r="K35" s="209"/>
      <c r="L35" s="211"/>
      <c r="M35" s="209">
        <f t="shared" ca="1" si="35"/>
        <v>0</v>
      </c>
      <c r="N35" s="208"/>
      <c r="O35" s="209"/>
      <c r="P35" s="210"/>
      <c r="Q35" s="154">
        <v>3</v>
      </c>
      <c r="R35" s="157"/>
      <c r="S35" s="115" t="str">
        <f>IF(OR(T35="Preventivo",T35="Detectivo"),"Probabilidad",IF(T35="Correctivo","Impacto",""))</f>
        <v/>
      </c>
      <c r="T35" s="116"/>
      <c r="U35" s="116"/>
      <c r="V35" s="117" t="str">
        <f t="shared" si="36"/>
        <v/>
      </c>
      <c r="W35" s="116"/>
      <c r="X35" s="116"/>
      <c r="Y35" s="116"/>
      <c r="Z35" s="118" t="str">
        <f>IFERROR(IF(AND(S34="Probabilidad",S35="Probabilidad"),(AB34-(+AB34*V35)),IF(AND(S34="Impacto",S35="Probabilidad"),(AB33-(+AB33*V35)),IF(S35="Impacto",AB34,""))),"")</f>
        <v/>
      </c>
      <c r="AA35" s="119" t="str">
        <f t="shared" si="37"/>
        <v/>
      </c>
      <c r="AB35" s="117" t="str">
        <f t="shared" si="38"/>
        <v/>
      </c>
      <c r="AC35" s="119" t="str">
        <f t="shared" si="2"/>
        <v/>
      </c>
      <c r="AD35" s="117" t="str">
        <f>IFERROR(IF(AND(S34="Impacto",S35="Impacto"),(AD34-(+AD34*V35)),IF(AND(S34="Probabilidad",S35="Impacto"),(AD33-(+AD33*V35)),IF(S35="Probabilidad",AD34,""))),"")</f>
        <v/>
      </c>
      <c r="AE35" s="120" t="str">
        <f t="shared" si="39"/>
        <v/>
      </c>
      <c r="AF35" s="116"/>
      <c r="AG35" s="162" t="s">
        <v>241</v>
      </c>
      <c r="AH35" s="160" t="s">
        <v>240</v>
      </c>
      <c r="AI35" s="123">
        <v>44423</v>
      </c>
      <c r="AJ35" s="123">
        <v>44560</v>
      </c>
      <c r="AK35" s="161" t="s">
        <v>250</v>
      </c>
      <c r="AL35" s="156" t="s">
        <v>39</v>
      </c>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row>
    <row r="36" spans="1:70" x14ac:dyDescent="0.3">
      <c r="A36" s="216"/>
      <c r="B36" s="224"/>
      <c r="C36" s="221"/>
      <c r="D36" s="217"/>
      <c r="E36" s="212"/>
      <c r="F36" s="212"/>
      <c r="G36" s="217"/>
      <c r="H36" s="214"/>
      <c r="I36" s="218"/>
      <c r="J36" s="208"/>
      <c r="K36" s="209"/>
      <c r="L36" s="211"/>
      <c r="M36" s="209">
        <f t="shared" ca="1" si="35"/>
        <v>0</v>
      </c>
      <c r="N36" s="208"/>
      <c r="O36" s="209"/>
      <c r="P36" s="210"/>
      <c r="Q36" s="154">
        <v>4</v>
      </c>
      <c r="R36" s="114"/>
      <c r="S36" s="115" t="str">
        <f t="shared" ref="S36:S38" si="40">IF(OR(T36="Preventivo",T36="Detectivo"),"Probabilidad",IF(T36="Correctivo","Impacto",""))</f>
        <v/>
      </c>
      <c r="T36" s="116"/>
      <c r="U36" s="116"/>
      <c r="V36" s="117" t="str">
        <f t="shared" si="36"/>
        <v/>
      </c>
      <c r="W36" s="116"/>
      <c r="X36" s="116"/>
      <c r="Y36" s="116"/>
      <c r="Z36" s="118" t="str">
        <f t="shared" ref="Z36:Z38" si="41">IFERROR(IF(AND(S35="Probabilidad",S36="Probabilidad"),(AB35-(+AB35*V36)),IF(AND(S35="Impacto",S36="Probabilidad"),(AB34-(+AB34*V36)),IF(S36="Impacto",AB35,""))),"")</f>
        <v/>
      </c>
      <c r="AA36" s="119" t="str">
        <f t="shared" si="37"/>
        <v/>
      </c>
      <c r="AB36" s="117" t="str">
        <f t="shared" si="38"/>
        <v/>
      </c>
      <c r="AC36" s="119" t="str">
        <f t="shared" si="2"/>
        <v/>
      </c>
      <c r="AD36" s="117" t="str">
        <f t="shared" ref="AD36:AD38" si="42">IFERROR(IF(AND(S35="Impacto",S36="Impacto"),(AD35-(+AD35*V36)),IF(AND(S35="Probabilidad",S36="Impacto"),(AD34-(+AD34*V36)),IF(S36="Probabilidad",AD35,""))),"")</f>
        <v/>
      </c>
      <c r="AE36" s="120" t="str">
        <f>IFERROR(IF(OR(AND(AA36="Muy Baja",AC36="Leve"),AND(AA36="Muy Baja",AC36="Menor"),AND(AA36="Baja",AC36="Leve")),"Bajo",IF(OR(AND(AA36="Muy baja",AC36="Moderado"),AND(AA36="Baja",AC36="Menor"),AND(AA36="Baja",AC36="Moderado"),AND(AA36="Media",AC36="Leve"),AND(AA36="Media",AC36="Menor"),AND(AA36="Media",AC36="Moderado"),AND(AA36="Alta",AC36="Leve"),AND(AA36="Alta",AC36="Menor")),"Moderado",IF(OR(AND(AA36="Muy Baja",AC36="Mayor"),AND(AA36="Baja",AC36="Mayor"),AND(AA36="Media",AC36="Mayor"),AND(AA36="Alta",AC36="Moderado"),AND(AA36="Alta",AC36="Mayor"),AND(AA36="Muy Alta",AC36="Leve"),AND(AA36="Muy Alta",AC36="Menor"),AND(AA36="Muy Alta",AC36="Moderado"),AND(AA36="Muy Alta",AC36="Mayor")),"Alto",IF(OR(AND(AA36="Muy Baja",AC36="Catastrófico"),AND(AA36="Baja",AC36="Catastrófico"),AND(AA36="Media",AC36="Catastrófico"),AND(AA36="Alta",AC36="Catastrófico"),AND(AA36="Muy Alta",AC36="Catastrófico")),"Extremo","")))),"")</f>
        <v/>
      </c>
      <c r="AF36" s="116"/>
      <c r="AG36" s="121"/>
      <c r="AH36" s="122"/>
      <c r="AI36" s="123"/>
      <c r="AJ36" s="123"/>
      <c r="AK36" s="121"/>
      <c r="AL36" s="122"/>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row>
    <row r="37" spans="1:70" x14ac:dyDescent="0.3">
      <c r="A37" s="216"/>
      <c r="B37" s="225"/>
      <c r="C37" s="221"/>
      <c r="D37" s="217"/>
      <c r="E37" s="212"/>
      <c r="F37" s="212"/>
      <c r="G37" s="217"/>
      <c r="H37" s="214"/>
      <c r="I37" s="218"/>
      <c r="J37" s="208"/>
      <c r="K37" s="209"/>
      <c r="L37" s="211"/>
      <c r="M37" s="209">
        <f t="shared" ca="1" si="35"/>
        <v>0</v>
      </c>
      <c r="N37" s="208"/>
      <c r="O37" s="209"/>
      <c r="P37" s="210"/>
      <c r="Q37" s="154">
        <v>5</v>
      </c>
      <c r="R37" s="114"/>
      <c r="S37" s="115" t="str">
        <f t="shared" si="40"/>
        <v/>
      </c>
      <c r="T37" s="116"/>
      <c r="U37" s="116"/>
      <c r="V37" s="117" t="str">
        <f t="shared" si="36"/>
        <v/>
      </c>
      <c r="W37" s="116"/>
      <c r="X37" s="116"/>
      <c r="Y37" s="116"/>
      <c r="Z37" s="127" t="str">
        <f t="shared" si="41"/>
        <v/>
      </c>
      <c r="AA37" s="119" t="str">
        <f>IFERROR(IF(Z37="","",IF(Z37&lt;=0.2,"Muy Baja",IF(Z37&lt;=0.4,"Baja",IF(Z37&lt;=0.6,"Media",IF(Z37&lt;=0.8,"Alta","Muy Alta"))))),"")</f>
        <v/>
      </c>
      <c r="AB37" s="117" t="str">
        <f t="shared" si="38"/>
        <v/>
      </c>
      <c r="AC37" s="119" t="str">
        <f t="shared" si="2"/>
        <v/>
      </c>
      <c r="AD37" s="117" t="str">
        <f t="shared" si="42"/>
        <v/>
      </c>
      <c r="AE37" s="120" t="str">
        <f t="shared" ref="AE37:AE38" si="43">IFERROR(IF(OR(AND(AA37="Muy Baja",AC37="Leve"),AND(AA37="Muy Baja",AC37="Menor"),AND(AA37="Baja",AC37="Leve")),"Bajo",IF(OR(AND(AA37="Muy baja",AC37="Moderado"),AND(AA37="Baja",AC37="Menor"),AND(AA37="Baja",AC37="Moderado"),AND(AA37="Media",AC37="Leve"),AND(AA37="Media",AC37="Menor"),AND(AA37="Media",AC37="Moderado"),AND(AA37="Alta",AC37="Leve"),AND(AA37="Alta",AC37="Menor")),"Moderado",IF(OR(AND(AA37="Muy Baja",AC37="Mayor"),AND(AA37="Baja",AC37="Mayor"),AND(AA37="Media",AC37="Mayor"),AND(AA37="Alta",AC37="Moderado"),AND(AA37="Alta",AC37="Mayor"),AND(AA37="Muy Alta",AC37="Leve"),AND(AA37="Muy Alta",AC37="Menor"),AND(AA37="Muy Alta",AC37="Moderado"),AND(AA37="Muy Alta",AC37="Mayor")),"Alto",IF(OR(AND(AA37="Muy Baja",AC37="Catastrófico"),AND(AA37="Baja",AC37="Catastrófico"),AND(AA37="Media",AC37="Catastrófico"),AND(AA37="Alta",AC37="Catastrófico"),AND(AA37="Muy Alta",AC37="Catastrófico")),"Extremo","")))),"")</f>
        <v/>
      </c>
      <c r="AF37" s="116"/>
      <c r="AG37" s="121"/>
      <c r="AH37" s="122"/>
      <c r="AI37" s="123"/>
      <c r="AJ37" s="123"/>
      <c r="AK37" s="121"/>
      <c r="AL37" s="122"/>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1:70" x14ac:dyDescent="0.3">
      <c r="A38" s="216"/>
      <c r="B38" s="154"/>
      <c r="C38" s="222"/>
      <c r="D38" s="217"/>
      <c r="E38" s="212"/>
      <c r="F38" s="212"/>
      <c r="G38" s="217"/>
      <c r="H38" s="215"/>
      <c r="I38" s="218"/>
      <c r="J38" s="208"/>
      <c r="K38" s="209"/>
      <c r="L38" s="211"/>
      <c r="M38" s="209">
        <f t="shared" ca="1" si="35"/>
        <v>0</v>
      </c>
      <c r="N38" s="208"/>
      <c r="O38" s="209"/>
      <c r="P38" s="210"/>
      <c r="Q38" s="154">
        <v>6</v>
      </c>
      <c r="R38" s="114"/>
      <c r="S38" s="115" t="str">
        <f t="shared" si="40"/>
        <v/>
      </c>
      <c r="T38" s="116"/>
      <c r="U38" s="116"/>
      <c r="V38" s="117" t="str">
        <f t="shared" si="36"/>
        <v/>
      </c>
      <c r="W38" s="116"/>
      <c r="X38" s="116"/>
      <c r="Y38" s="116"/>
      <c r="Z38" s="118" t="str">
        <f t="shared" si="41"/>
        <v/>
      </c>
      <c r="AA38" s="119" t="str">
        <f t="shared" ref="AA38" si="44">IFERROR(IF(Z38="","",IF(Z38&lt;=0.2,"Muy Baja",IF(Z38&lt;=0.4,"Baja",IF(Z38&lt;=0.6,"Media",IF(Z38&lt;=0.8,"Alta","Muy Alta"))))),"")</f>
        <v/>
      </c>
      <c r="AB38" s="117" t="str">
        <f t="shared" si="38"/>
        <v/>
      </c>
      <c r="AC38" s="119" t="str">
        <f t="shared" si="2"/>
        <v/>
      </c>
      <c r="AD38" s="117" t="str">
        <f t="shared" si="42"/>
        <v/>
      </c>
      <c r="AE38" s="120" t="str">
        <f t="shared" si="43"/>
        <v/>
      </c>
      <c r="AF38" s="116"/>
      <c r="AG38" s="121"/>
      <c r="AH38" s="122"/>
      <c r="AI38" s="123"/>
      <c r="AJ38" s="123"/>
      <c r="AK38" s="121"/>
      <c r="AL38" s="122"/>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1:70" x14ac:dyDescent="0.3">
      <c r="A39" s="216">
        <v>6</v>
      </c>
      <c r="B39" s="139"/>
      <c r="C39" s="139"/>
      <c r="D39" s="217"/>
      <c r="E39" s="212"/>
      <c r="F39" s="141"/>
      <c r="G39" s="217"/>
      <c r="H39" s="140"/>
      <c r="I39" s="218"/>
      <c r="J39" s="208" t="str">
        <f>IF(I39&lt;=0,"",IF(I39&lt;=2,"Muy Baja",IF(I39&lt;=24,"Baja",IF(I39&lt;=500,"Media",IF(I39&lt;=5000,"Alta","Muy Alta")))))</f>
        <v/>
      </c>
      <c r="K39" s="209" t="str">
        <f>IF(J39="","",IF(J39="Muy Baja",0.2,IF(J39="Baja",0.4,IF(J39="Media",0.6,IF(J39="Alta",0.8,IF(J39="Muy Alta",1,))))))</f>
        <v/>
      </c>
      <c r="L39" s="211"/>
      <c r="M39" s="209">
        <f>IF(NOT(ISERROR(MATCH(L39,'Tabla Impacto'!$B$221:$B$223,0))),'Tabla Impacto'!$F$223&amp;"Por favor no seleccionar los criterios de impacto(Afectación Económica o presupuestal y Pérdida Reputacional)",L39)</f>
        <v>0</v>
      </c>
      <c r="N39" s="208" t="str">
        <f>IF(OR(M39='Tabla Impacto'!$C$11,M39='Tabla Impacto'!$D$11),"Leve",IF(OR(M39='Tabla Impacto'!$C$12,M39='Tabla Impacto'!$D$12),"Menor",IF(OR(M39='Tabla Impacto'!$C$13,M39='Tabla Impacto'!$D$13),"Moderado",IF(OR(M39='Tabla Impacto'!$C$14,M39='Tabla Impacto'!$D$14),"Mayor",IF(OR(M39='Tabla Impacto'!$C$15,M39='Tabla Impacto'!$D$15),"Catastrófico","")))))</f>
        <v/>
      </c>
      <c r="O39" s="209" t="str">
        <f>IF(N39="","",IF(N39="Leve",0.2,IF(N39="Menor",0.4,IF(N39="Moderado",0.6,IF(N39="Mayor",0.8,IF(N39="Catastrófico",1,))))))</f>
        <v/>
      </c>
      <c r="P39" s="210" t="str">
        <f>IF(OR(AND(J39="Muy Baja",N39="Leve"),AND(J39="Muy Baja",N39="Menor"),AND(J39="Baja",N39="Leve")),"Bajo",IF(OR(AND(J39="Muy baja",N39="Moderado"),AND(J39="Baja",N39="Menor"),AND(J39="Baja",N39="Moderado"),AND(J39="Media",N39="Leve"),AND(J39="Media",N39="Menor"),AND(J39="Media",N39="Moderado"),AND(J39="Alta",N39="Leve"),AND(J39="Alta",N39="Menor")),"Moderado",IF(OR(AND(J39="Muy Baja",N39="Mayor"),AND(J39="Baja",N39="Mayor"),AND(J39="Media",N39="Mayor"),AND(J39="Alta",N39="Moderado"),AND(J39="Alta",N39="Mayor"),AND(J39="Muy Alta",N39="Leve"),AND(J39="Muy Alta",N39="Menor"),AND(J39="Muy Alta",N39="Moderado"),AND(J39="Muy Alta",N39="Mayor")),"Alto",IF(OR(AND(J39="Muy Baja",N39="Catastrófico"),AND(J39="Baja",N39="Catastrófico"),AND(J39="Media",N39="Catastrófico"),AND(J39="Alta",N39="Catastrófico"),AND(J39="Muy Alta",N39="Catastrófico")),"Extremo",""))))</f>
        <v/>
      </c>
      <c r="Q39" s="113">
        <v>1</v>
      </c>
      <c r="R39" s="114"/>
      <c r="S39" s="115" t="str">
        <f>IF(OR(T39="Preventivo",T39="Detectivo"),"Probabilidad",IF(T39="Correctivo","Impacto",""))</f>
        <v/>
      </c>
      <c r="T39" s="116"/>
      <c r="U39" s="116"/>
      <c r="V39" s="117" t="str">
        <f>IF(AND(T39="Preventivo",U39="Automático"),"50%",IF(AND(T39="Preventivo",U39="Manual"),"40%",IF(AND(T39="Detectivo",U39="Automático"),"40%",IF(AND(T39="Detectivo",U39="Manual"),"30%",IF(AND(T39="Correctivo",U39="Automático"),"35%",IF(AND(T39="Correctivo",U39="Manual"),"25%",""))))))</f>
        <v/>
      </c>
      <c r="W39" s="116"/>
      <c r="X39" s="116"/>
      <c r="Y39" s="116"/>
      <c r="Z39" s="118" t="str">
        <f>IFERROR(IF(S39="Probabilidad",(K39-(+K39*V39)),IF(S39="Impacto",K39,"")),"")</f>
        <v/>
      </c>
      <c r="AA39" s="119" t="str">
        <f>IFERROR(IF(Z39="","",IF(Z39&lt;=0.2,"Muy Baja",IF(Z39&lt;=0.4,"Baja",IF(Z39&lt;=0.6,"Media",IF(Z39&lt;=0.8,"Alta","Muy Alta"))))),"")</f>
        <v/>
      </c>
      <c r="AB39" s="117" t="str">
        <f>+Z39</f>
        <v/>
      </c>
      <c r="AC39" s="119" t="str">
        <f>IFERROR(IF(AD39="","",IF(AD39&lt;=0.2,"Leve",IF(AD39&lt;=0.4,"Menor",IF(AD39&lt;=0.6,"Moderado",IF(AD39&lt;=0.8,"Mayor","Catastrófico"))))),"")</f>
        <v/>
      </c>
      <c r="AD39" s="117" t="str">
        <f>IFERROR(IF(S39="Impacto",(O39-(+O39*V39)),IF(S39="Probabilidad",O39,"")),"")</f>
        <v/>
      </c>
      <c r="AE39" s="120" t="str">
        <f>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
      </c>
      <c r="AF39" s="116"/>
      <c r="AG39" s="121"/>
      <c r="AH39" s="122"/>
      <c r="AI39" s="123"/>
      <c r="AJ39" s="123"/>
      <c r="AK39" s="121"/>
      <c r="AL39" s="122"/>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row>
    <row r="40" spans="1:70" x14ac:dyDescent="0.3">
      <c r="A40" s="216"/>
      <c r="B40" s="139"/>
      <c r="C40" s="139"/>
      <c r="D40" s="217"/>
      <c r="E40" s="212"/>
      <c r="F40" s="141"/>
      <c r="G40" s="217"/>
      <c r="H40" s="140"/>
      <c r="I40" s="218"/>
      <c r="J40" s="208"/>
      <c r="K40" s="209"/>
      <c r="L40" s="211"/>
      <c r="M40" s="209">
        <f t="shared" ref="M40:M44" ca="1" si="45">IF(NOT(ISERROR(MATCH(L40,_xlfn.ANCHORARRAY(E51),0))),K53&amp;"Por favor no seleccionar los criterios de impacto",L40)</f>
        <v>0</v>
      </c>
      <c r="N40" s="208"/>
      <c r="O40" s="209"/>
      <c r="P40" s="210"/>
      <c r="Q40" s="113">
        <v>2</v>
      </c>
      <c r="R40" s="114"/>
      <c r="S40" s="115" t="str">
        <f>IF(OR(T40="Preventivo",T40="Detectivo"),"Probabilidad",IF(T40="Correctivo","Impacto",""))</f>
        <v/>
      </c>
      <c r="T40" s="116"/>
      <c r="U40" s="116"/>
      <c r="V40" s="117" t="str">
        <f t="shared" ref="V40:V44" si="46">IF(AND(T40="Preventivo",U40="Automático"),"50%",IF(AND(T40="Preventivo",U40="Manual"),"40%",IF(AND(T40="Detectivo",U40="Automático"),"40%",IF(AND(T40="Detectivo",U40="Manual"),"30%",IF(AND(T40="Correctivo",U40="Automático"),"35%",IF(AND(T40="Correctivo",U40="Manual"),"25%",""))))))</f>
        <v/>
      </c>
      <c r="W40" s="116"/>
      <c r="X40" s="116"/>
      <c r="Y40" s="116"/>
      <c r="Z40" s="118" t="str">
        <f>IFERROR(IF(AND(S39="Probabilidad",S40="Probabilidad"),(AB39-(+AB39*V40)),IF(S40="Probabilidad",(K39-(+K39*V40)),IF(S40="Impacto",AB39,""))),"")</f>
        <v/>
      </c>
      <c r="AA40" s="119" t="str">
        <f t="shared" si="0"/>
        <v/>
      </c>
      <c r="AB40" s="117" t="str">
        <f t="shared" ref="AB40:AB44" si="47">+Z40</f>
        <v/>
      </c>
      <c r="AC40" s="119" t="str">
        <f t="shared" si="2"/>
        <v/>
      </c>
      <c r="AD40" s="117" t="str">
        <f>IFERROR(IF(AND(S39="Impacto",S40="Impacto"),(AD33-(+AD33*V40)),IF(S40="Impacto",($O$39-(+$O$39*V40)),IF(S40="Probabilidad",AD33,""))),"")</f>
        <v/>
      </c>
      <c r="AE40" s="120" t="str">
        <f t="shared" ref="AE40:AE41" si="48">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
      </c>
      <c r="AF40" s="116"/>
      <c r="AG40" s="121"/>
      <c r="AH40" s="122"/>
      <c r="AI40" s="123"/>
      <c r="AJ40" s="123"/>
      <c r="AK40" s="121"/>
      <c r="AL40" s="122"/>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row>
    <row r="41" spans="1:70" x14ac:dyDescent="0.3">
      <c r="A41" s="216"/>
      <c r="B41" s="139"/>
      <c r="C41" s="139"/>
      <c r="D41" s="217"/>
      <c r="E41" s="212"/>
      <c r="F41" s="141"/>
      <c r="G41" s="217"/>
      <c r="H41" s="140"/>
      <c r="I41" s="218"/>
      <c r="J41" s="208"/>
      <c r="K41" s="209"/>
      <c r="L41" s="211"/>
      <c r="M41" s="209">
        <f t="shared" ca="1" si="45"/>
        <v>0</v>
      </c>
      <c r="N41" s="208"/>
      <c r="O41" s="209"/>
      <c r="P41" s="210"/>
      <c r="Q41" s="113">
        <v>3</v>
      </c>
      <c r="R41" s="126"/>
      <c r="S41" s="115" t="str">
        <f>IF(OR(T41="Preventivo",T41="Detectivo"),"Probabilidad",IF(T41="Correctivo","Impacto",""))</f>
        <v/>
      </c>
      <c r="T41" s="116"/>
      <c r="U41" s="116"/>
      <c r="V41" s="117" t="str">
        <f t="shared" si="46"/>
        <v/>
      </c>
      <c r="W41" s="116"/>
      <c r="X41" s="116"/>
      <c r="Y41" s="116"/>
      <c r="Z41" s="118" t="str">
        <f>IFERROR(IF(AND(S40="Probabilidad",S41="Probabilidad"),(AB40-(+AB40*V41)),IF(AND(S40="Impacto",S41="Probabilidad"),(AB39-(+AB39*V41)),IF(S41="Impacto",AB40,""))),"")</f>
        <v/>
      </c>
      <c r="AA41" s="119" t="str">
        <f t="shared" si="0"/>
        <v/>
      </c>
      <c r="AB41" s="117" t="str">
        <f t="shared" si="47"/>
        <v/>
      </c>
      <c r="AC41" s="119" t="str">
        <f t="shared" si="2"/>
        <v/>
      </c>
      <c r="AD41" s="117" t="str">
        <f>IFERROR(IF(AND(S40="Impacto",S41="Impacto"),(AD40-(+AD40*V41)),IF(AND(S40="Probabilidad",S41="Impacto"),(AD39-(+AD39*V41)),IF(S41="Probabilidad",AD40,""))),"")</f>
        <v/>
      </c>
      <c r="AE41" s="120" t="str">
        <f t="shared" si="48"/>
        <v/>
      </c>
      <c r="AF41" s="116"/>
      <c r="AG41" s="121"/>
      <c r="AH41" s="122"/>
      <c r="AI41" s="123"/>
      <c r="AJ41" s="123"/>
      <c r="AK41" s="121"/>
      <c r="AL41" s="122"/>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row>
    <row r="42" spans="1:70" x14ac:dyDescent="0.3">
      <c r="A42" s="216"/>
      <c r="B42" s="139"/>
      <c r="C42" s="139"/>
      <c r="D42" s="217"/>
      <c r="E42" s="212"/>
      <c r="F42" s="141"/>
      <c r="G42" s="217"/>
      <c r="H42" s="140"/>
      <c r="I42" s="218"/>
      <c r="J42" s="208"/>
      <c r="K42" s="209"/>
      <c r="L42" s="211"/>
      <c r="M42" s="209">
        <f t="shared" ca="1" si="45"/>
        <v>0</v>
      </c>
      <c r="N42" s="208"/>
      <c r="O42" s="209"/>
      <c r="P42" s="210"/>
      <c r="Q42" s="113">
        <v>4</v>
      </c>
      <c r="R42" s="114"/>
      <c r="S42" s="115" t="str">
        <f t="shared" ref="S42:S44" si="49">IF(OR(T42="Preventivo",T42="Detectivo"),"Probabilidad",IF(T42="Correctivo","Impacto",""))</f>
        <v/>
      </c>
      <c r="T42" s="116"/>
      <c r="U42" s="116"/>
      <c r="V42" s="117" t="str">
        <f t="shared" si="46"/>
        <v/>
      </c>
      <c r="W42" s="116"/>
      <c r="X42" s="116"/>
      <c r="Y42" s="116"/>
      <c r="Z42" s="118" t="str">
        <f t="shared" ref="Z42:Z44" si="50">IFERROR(IF(AND(S41="Probabilidad",S42="Probabilidad"),(AB41-(+AB41*V42)),IF(AND(S41="Impacto",S42="Probabilidad"),(AB40-(+AB40*V42)),IF(S42="Impacto",AB41,""))),"")</f>
        <v/>
      </c>
      <c r="AA42" s="119" t="str">
        <f t="shared" si="0"/>
        <v/>
      </c>
      <c r="AB42" s="117" t="str">
        <f t="shared" si="47"/>
        <v/>
      </c>
      <c r="AC42" s="119" t="str">
        <f t="shared" si="2"/>
        <v/>
      </c>
      <c r="AD42" s="117" t="str">
        <f t="shared" ref="AD42:AD44" si="51">IFERROR(IF(AND(S41="Impacto",S42="Impacto"),(AD41-(+AD41*V42)),IF(AND(S41="Probabilidad",S42="Impacto"),(AD40-(+AD40*V42)),IF(S42="Probabilidad",AD41,""))),"")</f>
        <v/>
      </c>
      <c r="AE42" s="120" t="str">
        <f>IFERROR(IF(OR(AND(AA42="Muy Baja",AC42="Leve"),AND(AA42="Muy Baja",AC42="Menor"),AND(AA42="Baja",AC42="Leve")),"Bajo",IF(OR(AND(AA42="Muy baja",AC42="Moderado"),AND(AA42="Baja",AC42="Menor"),AND(AA42="Baja",AC42="Moderado"),AND(AA42="Media",AC42="Leve"),AND(AA42="Media",AC42="Menor"),AND(AA42="Media",AC42="Moderado"),AND(AA42="Alta",AC42="Leve"),AND(AA42="Alta",AC42="Menor")),"Moderado",IF(OR(AND(AA42="Muy Baja",AC42="Mayor"),AND(AA42="Baja",AC42="Mayor"),AND(AA42="Media",AC42="Mayor"),AND(AA42="Alta",AC42="Moderado"),AND(AA42="Alta",AC42="Mayor"),AND(AA42="Muy Alta",AC42="Leve"),AND(AA42="Muy Alta",AC42="Menor"),AND(AA42="Muy Alta",AC42="Moderado"),AND(AA42="Muy Alta",AC42="Mayor")),"Alto",IF(OR(AND(AA42="Muy Baja",AC42="Catastrófico"),AND(AA42="Baja",AC42="Catastrófico"),AND(AA42="Media",AC42="Catastrófico"),AND(AA42="Alta",AC42="Catastrófico"),AND(AA42="Muy Alta",AC42="Catastrófico")),"Extremo","")))),"")</f>
        <v/>
      </c>
      <c r="AF42" s="116"/>
      <c r="AG42" s="121"/>
      <c r="AH42" s="122"/>
      <c r="AI42" s="123"/>
      <c r="AJ42" s="123"/>
      <c r="AK42" s="121"/>
      <c r="AL42" s="122"/>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row>
    <row r="43" spans="1:70" x14ac:dyDescent="0.3">
      <c r="A43" s="216"/>
      <c r="B43" s="139"/>
      <c r="C43" s="139"/>
      <c r="D43" s="217"/>
      <c r="E43" s="212"/>
      <c r="F43" s="141"/>
      <c r="G43" s="217"/>
      <c r="H43" s="140"/>
      <c r="I43" s="218"/>
      <c r="J43" s="208"/>
      <c r="K43" s="209"/>
      <c r="L43" s="211"/>
      <c r="M43" s="209">
        <f t="shared" ca="1" si="45"/>
        <v>0</v>
      </c>
      <c r="N43" s="208"/>
      <c r="O43" s="209"/>
      <c r="P43" s="210"/>
      <c r="Q43" s="113">
        <v>5</v>
      </c>
      <c r="R43" s="114"/>
      <c r="S43" s="115" t="str">
        <f t="shared" si="49"/>
        <v/>
      </c>
      <c r="T43" s="116"/>
      <c r="U43" s="116"/>
      <c r="V43" s="117" t="str">
        <f t="shared" si="46"/>
        <v/>
      </c>
      <c r="W43" s="116"/>
      <c r="X43" s="116"/>
      <c r="Y43" s="116"/>
      <c r="Z43" s="118" t="str">
        <f t="shared" si="50"/>
        <v/>
      </c>
      <c r="AA43" s="119" t="str">
        <f t="shared" si="0"/>
        <v/>
      </c>
      <c r="AB43" s="117" t="str">
        <f t="shared" si="47"/>
        <v/>
      </c>
      <c r="AC43" s="119" t="str">
        <f t="shared" si="2"/>
        <v/>
      </c>
      <c r="AD43" s="117" t="str">
        <f t="shared" si="51"/>
        <v/>
      </c>
      <c r="AE43" s="120" t="str">
        <f t="shared" ref="AE43" si="52">IFERROR(IF(OR(AND(AA43="Muy Baja",AC43="Leve"),AND(AA43="Muy Baja",AC43="Menor"),AND(AA43="Baja",AC43="Leve")),"Bajo",IF(OR(AND(AA43="Muy baja",AC43="Moderado"),AND(AA43="Baja",AC43="Menor"),AND(AA43="Baja",AC43="Moderado"),AND(AA43="Media",AC43="Leve"),AND(AA43="Media",AC43="Menor"),AND(AA43="Media",AC43="Moderado"),AND(AA43="Alta",AC43="Leve"),AND(AA43="Alta",AC43="Menor")),"Moderado",IF(OR(AND(AA43="Muy Baja",AC43="Mayor"),AND(AA43="Baja",AC43="Mayor"),AND(AA43="Media",AC43="Mayor"),AND(AA43="Alta",AC43="Moderado"),AND(AA43="Alta",AC43="Mayor"),AND(AA43="Muy Alta",AC43="Leve"),AND(AA43="Muy Alta",AC43="Menor"),AND(AA43="Muy Alta",AC43="Moderado"),AND(AA43="Muy Alta",AC43="Mayor")),"Alto",IF(OR(AND(AA43="Muy Baja",AC43="Catastrófico"),AND(AA43="Baja",AC43="Catastrófico"),AND(AA43="Media",AC43="Catastrófico"),AND(AA43="Alta",AC43="Catastrófico"),AND(AA43="Muy Alta",AC43="Catastrófico")),"Extremo","")))),"")</f>
        <v/>
      </c>
      <c r="AF43" s="116"/>
      <c r="AG43" s="121"/>
      <c r="AH43" s="122"/>
      <c r="AI43" s="123"/>
      <c r="AJ43" s="123"/>
      <c r="AK43" s="121"/>
      <c r="AL43" s="122"/>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row>
    <row r="44" spans="1:70" x14ac:dyDescent="0.3">
      <c r="A44" s="216"/>
      <c r="B44" s="139"/>
      <c r="C44" s="139"/>
      <c r="D44" s="217"/>
      <c r="E44" s="212"/>
      <c r="F44" s="141"/>
      <c r="G44" s="217"/>
      <c r="H44" s="140"/>
      <c r="I44" s="218"/>
      <c r="J44" s="208"/>
      <c r="K44" s="209"/>
      <c r="L44" s="211"/>
      <c r="M44" s="209">
        <f t="shared" ca="1" si="45"/>
        <v>0</v>
      </c>
      <c r="N44" s="208"/>
      <c r="O44" s="209"/>
      <c r="P44" s="210"/>
      <c r="Q44" s="113">
        <v>6</v>
      </c>
      <c r="R44" s="114"/>
      <c r="S44" s="115" t="str">
        <f t="shared" si="49"/>
        <v/>
      </c>
      <c r="T44" s="116"/>
      <c r="U44" s="116"/>
      <c r="V44" s="117" t="str">
        <f t="shared" si="46"/>
        <v/>
      </c>
      <c r="W44" s="116"/>
      <c r="X44" s="116"/>
      <c r="Y44" s="116"/>
      <c r="Z44" s="118" t="str">
        <f t="shared" si="50"/>
        <v/>
      </c>
      <c r="AA44" s="119" t="str">
        <f t="shared" si="0"/>
        <v/>
      </c>
      <c r="AB44" s="117" t="str">
        <f t="shared" si="47"/>
        <v/>
      </c>
      <c r="AC44" s="119" t="str">
        <f>IFERROR(IF(AD44="","",IF(AD44&lt;=0.2,"Leve",IF(AD44&lt;=0.4,"Menor",IF(AD44&lt;=0.6,"Moderado",IF(AD44&lt;=0.8,"Mayor","Catastrófico"))))),"")</f>
        <v/>
      </c>
      <c r="AD44" s="117" t="str">
        <f t="shared" si="51"/>
        <v/>
      </c>
      <c r="AE44" s="120" t="str">
        <f>IFERROR(IF(OR(AND(AA44="Muy Baja",AC44="Leve"),AND(AA44="Muy Baja",AC44="Menor"),AND(AA44="Baja",AC44="Leve")),"Bajo",IF(OR(AND(AA44="Muy baja",AC44="Moderado"),AND(AA44="Baja",AC44="Menor"),AND(AA44="Baja",AC44="Moderado"),AND(AA44="Media",AC44="Leve"),AND(AA44="Media",AC44="Menor"),AND(AA44="Media",AC44="Moderado"),AND(AA44="Alta",AC44="Leve"),AND(AA44="Alta",AC44="Menor")),"Moderado",IF(OR(AND(AA44="Muy Baja",AC44="Mayor"),AND(AA44="Baja",AC44="Mayor"),AND(AA44="Media",AC44="Mayor"),AND(AA44="Alta",AC44="Moderado"),AND(AA44="Alta",AC44="Mayor"),AND(AA44="Muy Alta",AC44="Leve"),AND(AA44="Muy Alta",AC44="Menor"),AND(AA44="Muy Alta",AC44="Moderado"),AND(AA44="Muy Alta",AC44="Mayor")),"Alto",IF(OR(AND(AA44="Muy Baja",AC44="Catastrófico"),AND(AA44="Baja",AC44="Catastrófico"),AND(AA44="Media",AC44="Catastrófico"),AND(AA44="Alta",AC44="Catastrófico"),AND(AA44="Muy Alta",AC44="Catastrófico")),"Extremo","")))),"")</f>
        <v/>
      </c>
      <c r="AF44" s="116"/>
      <c r="AG44" s="121"/>
      <c r="AH44" s="122"/>
      <c r="AI44" s="123"/>
      <c r="AJ44" s="123"/>
      <c r="AK44" s="121"/>
      <c r="AL44" s="122"/>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row>
    <row r="45" spans="1:70" x14ac:dyDescent="0.3">
      <c r="A45" s="216">
        <v>7</v>
      </c>
      <c r="B45" s="139"/>
      <c r="C45" s="139"/>
      <c r="D45" s="217"/>
      <c r="E45" s="212"/>
      <c r="F45" s="141"/>
      <c r="G45" s="217"/>
      <c r="H45" s="140"/>
      <c r="I45" s="218"/>
      <c r="J45" s="208" t="str">
        <f>IF(I45&lt;=0,"",IF(I45&lt;=2,"Muy Baja",IF(I45&lt;=24,"Baja",IF(I45&lt;=500,"Media",IF(I45&lt;=5000,"Alta","Muy Alta")))))</f>
        <v/>
      </c>
      <c r="K45" s="209" t="str">
        <f>IF(J45="","",IF(J45="Muy Baja",0.2,IF(J45="Baja",0.4,IF(J45="Media",0.6,IF(J45="Alta",0.8,IF(J45="Muy Alta",1,))))))</f>
        <v/>
      </c>
      <c r="L45" s="211"/>
      <c r="M45" s="209">
        <f>IF(NOT(ISERROR(MATCH(L45,'Tabla Impacto'!$B$221:$B$223,0))),'Tabla Impacto'!$F$223&amp;"Por favor no seleccionar los criterios de impacto(Afectación Económica o presupuestal y Pérdida Reputacional)",L45)</f>
        <v>0</v>
      </c>
      <c r="N45" s="208" t="str">
        <f>IF(OR(M45='Tabla Impacto'!$C$11,M45='Tabla Impacto'!$D$11),"Leve",IF(OR(M45='Tabla Impacto'!$C$12,M45='Tabla Impacto'!$D$12),"Menor",IF(OR(M45='Tabla Impacto'!$C$13,M45='Tabla Impacto'!$D$13),"Moderado",IF(OR(M45='Tabla Impacto'!$C$14,M45='Tabla Impacto'!$D$14),"Mayor",IF(OR(M45='Tabla Impacto'!$C$15,M45='Tabla Impacto'!$D$15),"Catastrófico","")))))</f>
        <v/>
      </c>
      <c r="O45" s="209" t="str">
        <f>IF(N45="","",IF(N45="Leve",0.2,IF(N45="Menor",0.4,IF(N45="Moderado",0.6,IF(N45="Mayor",0.8,IF(N45="Catastrófico",1,))))))</f>
        <v/>
      </c>
      <c r="P45" s="210" t="str">
        <f>IF(OR(AND(J45="Muy Baja",N45="Leve"),AND(J45="Muy Baja",N45="Menor"),AND(J45="Baja",N45="Leve")),"Bajo",IF(OR(AND(J45="Muy baja",N45="Moderado"),AND(J45="Baja",N45="Menor"),AND(J45="Baja",N45="Moderado"),AND(J45="Media",N45="Leve"),AND(J45="Media",N45="Menor"),AND(J45="Media",N45="Moderado"),AND(J45="Alta",N45="Leve"),AND(J45="Alta",N45="Menor")),"Moderado",IF(OR(AND(J45="Muy Baja",N45="Mayor"),AND(J45="Baja",N45="Mayor"),AND(J45="Media",N45="Mayor"),AND(J45="Alta",N45="Moderado"),AND(J45="Alta",N45="Mayor"),AND(J45="Muy Alta",N45="Leve"),AND(J45="Muy Alta",N45="Menor"),AND(J45="Muy Alta",N45="Moderado"),AND(J45="Muy Alta",N45="Mayor")),"Alto",IF(OR(AND(J45="Muy Baja",N45="Catastrófico"),AND(J45="Baja",N45="Catastrófico"),AND(J45="Media",N45="Catastrófico"),AND(J45="Alta",N45="Catastrófico"),AND(J45="Muy Alta",N45="Catastrófico")),"Extremo",""))))</f>
        <v/>
      </c>
      <c r="Q45" s="113">
        <v>1</v>
      </c>
      <c r="R45" s="114"/>
      <c r="S45" s="115" t="str">
        <f>IF(OR(T45="Preventivo",T45="Detectivo"),"Probabilidad",IF(T45="Correctivo","Impacto",""))</f>
        <v/>
      </c>
      <c r="T45" s="116"/>
      <c r="U45" s="116"/>
      <c r="V45" s="117" t="str">
        <f>IF(AND(T45="Preventivo",U45="Automático"),"50%",IF(AND(T45="Preventivo",U45="Manual"),"40%",IF(AND(T45="Detectivo",U45="Automático"),"40%",IF(AND(T45="Detectivo",U45="Manual"),"30%",IF(AND(T45="Correctivo",U45="Automático"),"35%",IF(AND(T45="Correctivo",U45="Manual"),"25%",""))))))</f>
        <v/>
      </c>
      <c r="W45" s="116"/>
      <c r="X45" s="116"/>
      <c r="Y45" s="116"/>
      <c r="Z45" s="118" t="str">
        <f>IFERROR(IF(S45="Probabilidad",(K45-(+K45*V45)),IF(S45="Impacto",K45,"")),"")</f>
        <v/>
      </c>
      <c r="AA45" s="119" t="str">
        <f>IFERROR(IF(Z45="","",IF(Z45&lt;=0.2,"Muy Baja",IF(Z45&lt;=0.4,"Baja",IF(Z45&lt;=0.6,"Media",IF(Z45&lt;=0.8,"Alta","Muy Alta"))))),"")</f>
        <v/>
      </c>
      <c r="AB45" s="117" t="str">
        <f>+Z45</f>
        <v/>
      </c>
      <c r="AC45" s="119" t="str">
        <f>IFERROR(IF(AD45="","",IF(AD45&lt;=0.2,"Leve",IF(AD45&lt;=0.4,"Menor",IF(AD45&lt;=0.6,"Moderado",IF(AD45&lt;=0.8,"Mayor","Catastrófico"))))),"")</f>
        <v/>
      </c>
      <c r="AD45" s="117" t="str">
        <f>IFERROR(IF(S45="Impacto",(O45-(+O45*V45)),IF(S45="Probabilidad",O45,"")),"")</f>
        <v/>
      </c>
      <c r="AE45" s="120" t="str">
        <f>IFERROR(IF(OR(AND(AA45="Muy Baja",AC45="Leve"),AND(AA45="Muy Baja",AC45="Menor"),AND(AA45="Baja",AC45="Leve")),"Bajo",IF(OR(AND(AA45="Muy baja",AC45="Moderado"),AND(AA45="Baja",AC45="Menor"),AND(AA45="Baja",AC45="Moderado"),AND(AA45="Media",AC45="Leve"),AND(AA45="Media",AC45="Menor"),AND(AA45="Media",AC45="Moderado"),AND(AA45="Alta",AC45="Leve"),AND(AA45="Alta",AC45="Menor")),"Moderado",IF(OR(AND(AA45="Muy Baja",AC45="Mayor"),AND(AA45="Baja",AC45="Mayor"),AND(AA45="Media",AC45="Mayor"),AND(AA45="Alta",AC45="Moderado"),AND(AA45="Alta",AC45="Mayor"),AND(AA45="Muy Alta",AC45="Leve"),AND(AA45="Muy Alta",AC45="Menor"),AND(AA45="Muy Alta",AC45="Moderado"),AND(AA45="Muy Alta",AC45="Mayor")),"Alto",IF(OR(AND(AA45="Muy Baja",AC45="Catastrófico"),AND(AA45="Baja",AC45="Catastrófico"),AND(AA45="Media",AC45="Catastrófico"),AND(AA45="Alta",AC45="Catastrófico"),AND(AA45="Muy Alta",AC45="Catastrófico")),"Extremo","")))),"")</f>
        <v/>
      </c>
      <c r="AF45" s="116"/>
      <c r="AG45" s="121"/>
      <c r="AH45" s="122"/>
      <c r="AI45" s="123"/>
      <c r="AJ45" s="123"/>
      <c r="AK45" s="121"/>
      <c r="AL45" s="122"/>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row>
    <row r="46" spans="1:70" x14ac:dyDescent="0.3">
      <c r="A46" s="216"/>
      <c r="B46" s="139"/>
      <c r="C46" s="139"/>
      <c r="D46" s="217"/>
      <c r="E46" s="212"/>
      <c r="F46" s="141"/>
      <c r="G46" s="217"/>
      <c r="H46" s="140"/>
      <c r="I46" s="218"/>
      <c r="J46" s="208"/>
      <c r="K46" s="209"/>
      <c r="L46" s="211"/>
      <c r="M46" s="209">
        <f t="shared" ref="M46:M50" ca="1" si="53">IF(NOT(ISERROR(MATCH(L46,_xlfn.ANCHORARRAY(E57),0))),K59&amp;"Por favor no seleccionar los criterios de impacto",L46)</f>
        <v>0</v>
      </c>
      <c r="N46" s="208"/>
      <c r="O46" s="209"/>
      <c r="P46" s="210"/>
      <c r="Q46" s="113">
        <v>2</v>
      </c>
      <c r="R46" s="114"/>
      <c r="S46" s="115" t="str">
        <f>IF(OR(T46="Preventivo",T46="Detectivo"),"Probabilidad",IF(T46="Correctivo","Impacto",""))</f>
        <v/>
      </c>
      <c r="T46" s="116"/>
      <c r="U46" s="116"/>
      <c r="V46" s="117" t="str">
        <f t="shared" ref="V46:V50" si="54">IF(AND(T46="Preventivo",U46="Automático"),"50%",IF(AND(T46="Preventivo",U46="Manual"),"40%",IF(AND(T46="Detectivo",U46="Automático"),"40%",IF(AND(T46="Detectivo",U46="Manual"),"30%",IF(AND(T46="Correctivo",U46="Automático"),"35%",IF(AND(T46="Correctivo",U46="Manual"),"25%",""))))))</f>
        <v/>
      </c>
      <c r="W46" s="116"/>
      <c r="X46" s="116"/>
      <c r="Y46" s="116"/>
      <c r="Z46" s="118" t="str">
        <f>IFERROR(IF(AND(S45="Probabilidad",S46="Probabilidad"),(AB45-(+AB45*V46)),IF(S46="Probabilidad",(K45-(+K45*V46)),IF(S46="Impacto",AB45,""))),"")</f>
        <v/>
      </c>
      <c r="AA46" s="119" t="str">
        <f t="shared" si="0"/>
        <v/>
      </c>
      <c r="AB46" s="117" t="str">
        <f t="shared" ref="AB46:AB50" si="55">+Z46</f>
        <v/>
      </c>
      <c r="AC46" s="119" t="str">
        <f t="shared" si="2"/>
        <v/>
      </c>
      <c r="AD46" s="117" t="str">
        <f>IFERROR(IF(AND(S45="Impacto",S46="Impacto"),(AD39-(+AD39*V46)),IF(S46="Impacto",($O$45-(+$O$45*V46)),IF(S46="Probabilidad",AD39,""))),"")</f>
        <v/>
      </c>
      <c r="AE46" s="120" t="str">
        <f t="shared" ref="AE46:AE47" si="56">IFERROR(IF(OR(AND(AA46="Muy Baja",AC46="Leve"),AND(AA46="Muy Baja",AC46="Menor"),AND(AA46="Baja",AC46="Leve")),"Bajo",IF(OR(AND(AA46="Muy baja",AC46="Moderado"),AND(AA46="Baja",AC46="Menor"),AND(AA46="Baja",AC46="Moderado"),AND(AA46="Media",AC46="Leve"),AND(AA46="Media",AC46="Menor"),AND(AA46="Media",AC46="Moderado"),AND(AA46="Alta",AC46="Leve"),AND(AA46="Alta",AC46="Menor")),"Moderado",IF(OR(AND(AA46="Muy Baja",AC46="Mayor"),AND(AA46="Baja",AC46="Mayor"),AND(AA46="Media",AC46="Mayor"),AND(AA46="Alta",AC46="Moderado"),AND(AA46="Alta",AC46="Mayor"),AND(AA46="Muy Alta",AC46="Leve"),AND(AA46="Muy Alta",AC46="Menor"),AND(AA46="Muy Alta",AC46="Moderado"),AND(AA46="Muy Alta",AC46="Mayor")),"Alto",IF(OR(AND(AA46="Muy Baja",AC46="Catastrófico"),AND(AA46="Baja",AC46="Catastrófico"),AND(AA46="Media",AC46="Catastrófico"),AND(AA46="Alta",AC46="Catastrófico"),AND(AA46="Muy Alta",AC46="Catastrófico")),"Extremo","")))),"")</f>
        <v/>
      </c>
      <c r="AF46" s="116"/>
      <c r="AG46" s="121"/>
      <c r="AH46" s="122"/>
      <c r="AI46" s="123"/>
      <c r="AJ46" s="123"/>
      <c r="AK46" s="121"/>
      <c r="AL46" s="122"/>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row>
    <row r="47" spans="1:70" x14ac:dyDescent="0.3">
      <c r="A47" s="216"/>
      <c r="B47" s="139"/>
      <c r="C47" s="139"/>
      <c r="D47" s="217"/>
      <c r="E47" s="212"/>
      <c r="F47" s="141"/>
      <c r="G47" s="217"/>
      <c r="H47" s="140"/>
      <c r="I47" s="218"/>
      <c r="J47" s="208"/>
      <c r="K47" s="209"/>
      <c r="L47" s="211"/>
      <c r="M47" s="209">
        <f t="shared" ca="1" si="53"/>
        <v>0</v>
      </c>
      <c r="N47" s="208"/>
      <c r="O47" s="209"/>
      <c r="P47" s="210"/>
      <c r="Q47" s="113">
        <v>3</v>
      </c>
      <c r="R47" s="126"/>
      <c r="S47" s="115" t="str">
        <f>IF(OR(T47="Preventivo",T47="Detectivo"),"Probabilidad",IF(T47="Correctivo","Impacto",""))</f>
        <v/>
      </c>
      <c r="T47" s="116"/>
      <c r="U47" s="116"/>
      <c r="V47" s="117" t="str">
        <f t="shared" si="54"/>
        <v/>
      </c>
      <c r="W47" s="116"/>
      <c r="X47" s="116"/>
      <c r="Y47" s="116"/>
      <c r="Z47" s="118" t="str">
        <f>IFERROR(IF(AND(S46="Probabilidad",S47="Probabilidad"),(AB46-(+AB46*V47)),IF(AND(S46="Impacto",S47="Probabilidad"),(AB45-(+AB45*V47)),IF(S47="Impacto",AB46,""))),"")</f>
        <v/>
      </c>
      <c r="AA47" s="119" t="str">
        <f t="shared" si="0"/>
        <v/>
      </c>
      <c r="AB47" s="117" t="str">
        <f t="shared" si="55"/>
        <v/>
      </c>
      <c r="AC47" s="119" t="str">
        <f t="shared" si="2"/>
        <v/>
      </c>
      <c r="AD47" s="117" t="str">
        <f>IFERROR(IF(AND(S46="Impacto",S47="Impacto"),(AD46-(+AD46*V47)),IF(AND(S46="Probabilidad",S47="Impacto"),(AD45-(+AD45*V47)),IF(S47="Probabilidad",AD46,""))),"")</f>
        <v/>
      </c>
      <c r="AE47" s="120" t="str">
        <f t="shared" si="56"/>
        <v/>
      </c>
      <c r="AF47" s="116"/>
      <c r="AG47" s="121"/>
      <c r="AH47" s="122"/>
      <c r="AI47" s="123"/>
      <c r="AJ47" s="123"/>
      <c r="AK47" s="121"/>
      <c r="AL47" s="122"/>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row>
    <row r="48" spans="1:70" x14ac:dyDescent="0.3">
      <c r="A48" s="216"/>
      <c r="B48" s="139"/>
      <c r="C48" s="139"/>
      <c r="D48" s="217"/>
      <c r="E48" s="212"/>
      <c r="F48" s="141"/>
      <c r="G48" s="217"/>
      <c r="H48" s="140"/>
      <c r="I48" s="218"/>
      <c r="J48" s="208"/>
      <c r="K48" s="209"/>
      <c r="L48" s="211"/>
      <c r="M48" s="209">
        <f t="shared" ca="1" si="53"/>
        <v>0</v>
      </c>
      <c r="N48" s="208"/>
      <c r="O48" s="209"/>
      <c r="P48" s="210"/>
      <c r="Q48" s="113">
        <v>4</v>
      </c>
      <c r="R48" s="114"/>
      <c r="S48" s="115" t="str">
        <f t="shared" ref="S48:S50" si="57">IF(OR(T48="Preventivo",T48="Detectivo"),"Probabilidad",IF(T48="Correctivo","Impacto",""))</f>
        <v/>
      </c>
      <c r="T48" s="116"/>
      <c r="U48" s="116"/>
      <c r="V48" s="117" t="str">
        <f t="shared" si="54"/>
        <v/>
      </c>
      <c r="W48" s="116"/>
      <c r="X48" s="116"/>
      <c r="Y48" s="116"/>
      <c r="Z48" s="118" t="str">
        <f t="shared" ref="Z48:Z50" si="58">IFERROR(IF(AND(S47="Probabilidad",S48="Probabilidad"),(AB47-(+AB47*V48)),IF(AND(S47="Impacto",S48="Probabilidad"),(AB46-(+AB46*V48)),IF(S48="Impacto",AB47,""))),"")</f>
        <v/>
      </c>
      <c r="AA48" s="119" t="str">
        <f t="shared" si="0"/>
        <v/>
      </c>
      <c r="AB48" s="117" t="str">
        <f t="shared" si="55"/>
        <v/>
      </c>
      <c r="AC48" s="119" t="str">
        <f t="shared" si="2"/>
        <v/>
      </c>
      <c r="AD48" s="117" t="str">
        <f t="shared" ref="AD48:AD50" si="59">IFERROR(IF(AND(S47="Impacto",S48="Impacto"),(AD47-(+AD47*V48)),IF(AND(S47="Probabilidad",S48="Impacto"),(AD46-(+AD46*V48)),IF(S48="Probabilidad",AD47,""))),"")</f>
        <v/>
      </c>
      <c r="AE48" s="120" t="str">
        <f>IFERROR(IF(OR(AND(AA48="Muy Baja",AC48="Leve"),AND(AA48="Muy Baja",AC48="Menor"),AND(AA48="Baja",AC48="Leve")),"Bajo",IF(OR(AND(AA48="Muy baja",AC48="Moderado"),AND(AA48="Baja",AC48="Menor"),AND(AA48="Baja",AC48="Moderado"),AND(AA48="Media",AC48="Leve"),AND(AA48="Media",AC48="Menor"),AND(AA48="Media",AC48="Moderado"),AND(AA48="Alta",AC48="Leve"),AND(AA48="Alta",AC48="Menor")),"Moderado",IF(OR(AND(AA48="Muy Baja",AC48="Mayor"),AND(AA48="Baja",AC48="Mayor"),AND(AA48="Media",AC48="Mayor"),AND(AA48="Alta",AC48="Moderado"),AND(AA48="Alta",AC48="Mayor"),AND(AA48="Muy Alta",AC48="Leve"),AND(AA48="Muy Alta",AC48="Menor"),AND(AA48="Muy Alta",AC48="Moderado"),AND(AA48="Muy Alta",AC48="Mayor")),"Alto",IF(OR(AND(AA48="Muy Baja",AC48="Catastrófico"),AND(AA48="Baja",AC48="Catastrófico"),AND(AA48="Media",AC48="Catastrófico"),AND(AA48="Alta",AC48="Catastrófico"),AND(AA48="Muy Alta",AC48="Catastrófico")),"Extremo","")))),"")</f>
        <v/>
      </c>
      <c r="AF48" s="116"/>
      <c r="AG48" s="121"/>
      <c r="AH48" s="122"/>
      <c r="AI48" s="123"/>
      <c r="AJ48" s="123"/>
      <c r="AK48" s="121"/>
      <c r="AL48" s="122"/>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row>
    <row r="49" spans="1:70" x14ac:dyDescent="0.3">
      <c r="A49" s="216"/>
      <c r="B49" s="139"/>
      <c r="C49" s="139"/>
      <c r="D49" s="217"/>
      <c r="E49" s="212"/>
      <c r="F49" s="141"/>
      <c r="G49" s="217"/>
      <c r="H49" s="140"/>
      <c r="I49" s="218"/>
      <c r="J49" s="208"/>
      <c r="K49" s="209"/>
      <c r="L49" s="211"/>
      <c r="M49" s="209">
        <f t="shared" ca="1" si="53"/>
        <v>0</v>
      </c>
      <c r="N49" s="208"/>
      <c r="O49" s="209"/>
      <c r="P49" s="210"/>
      <c r="Q49" s="113">
        <v>5</v>
      </c>
      <c r="R49" s="114"/>
      <c r="S49" s="115" t="str">
        <f t="shared" si="57"/>
        <v/>
      </c>
      <c r="T49" s="116"/>
      <c r="U49" s="116"/>
      <c r="V49" s="117" t="str">
        <f t="shared" si="54"/>
        <v/>
      </c>
      <c r="W49" s="116"/>
      <c r="X49" s="116"/>
      <c r="Y49" s="116"/>
      <c r="Z49" s="118" t="str">
        <f t="shared" si="58"/>
        <v/>
      </c>
      <c r="AA49" s="119" t="str">
        <f t="shared" si="0"/>
        <v/>
      </c>
      <c r="AB49" s="117" t="str">
        <f t="shared" si="55"/>
        <v/>
      </c>
      <c r="AC49" s="119" t="str">
        <f t="shared" si="2"/>
        <v/>
      </c>
      <c r="AD49" s="117" t="str">
        <f t="shared" si="59"/>
        <v/>
      </c>
      <c r="AE49" s="120" t="str">
        <f t="shared" ref="AE49:AE50" si="60">IFERROR(IF(OR(AND(AA49="Muy Baja",AC49="Leve"),AND(AA49="Muy Baja",AC49="Menor"),AND(AA49="Baja",AC49="Leve")),"Bajo",IF(OR(AND(AA49="Muy baja",AC49="Moderado"),AND(AA49="Baja",AC49="Menor"),AND(AA49="Baja",AC49="Moderado"),AND(AA49="Media",AC49="Leve"),AND(AA49="Media",AC49="Menor"),AND(AA49="Media",AC49="Moderado"),AND(AA49="Alta",AC49="Leve"),AND(AA49="Alta",AC49="Menor")),"Moderado",IF(OR(AND(AA49="Muy Baja",AC49="Mayor"),AND(AA49="Baja",AC49="Mayor"),AND(AA49="Media",AC49="Mayor"),AND(AA49="Alta",AC49="Moderado"),AND(AA49="Alta",AC49="Mayor"),AND(AA49="Muy Alta",AC49="Leve"),AND(AA49="Muy Alta",AC49="Menor"),AND(AA49="Muy Alta",AC49="Moderado"),AND(AA49="Muy Alta",AC49="Mayor")),"Alto",IF(OR(AND(AA49="Muy Baja",AC49="Catastrófico"),AND(AA49="Baja",AC49="Catastrófico"),AND(AA49="Media",AC49="Catastrófico"),AND(AA49="Alta",AC49="Catastrófico"),AND(AA49="Muy Alta",AC49="Catastrófico")),"Extremo","")))),"")</f>
        <v/>
      </c>
      <c r="AF49" s="116"/>
      <c r="AG49" s="121"/>
      <c r="AH49" s="122"/>
      <c r="AI49" s="123"/>
      <c r="AJ49" s="123"/>
      <c r="AK49" s="121"/>
      <c r="AL49" s="122"/>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row>
    <row r="50" spans="1:70" x14ac:dyDescent="0.3">
      <c r="A50" s="216"/>
      <c r="B50" s="139"/>
      <c r="C50" s="139"/>
      <c r="D50" s="217"/>
      <c r="E50" s="212"/>
      <c r="F50" s="141"/>
      <c r="G50" s="217"/>
      <c r="H50" s="140"/>
      <c r="I50" s="218"/>
      <c r="J50" s="208"/>
      <c r="K50" s="209"/>
      <c r="L50" s="211"/>
      <c r="M50" s="209">
        <f t="shared" ca="1" si="53"/>
        <v>0</v>
      </c>
      <c r="N50" s="208"/>
      <c r="O50" s="209"/>
      <c r="P50" s="210"/>
      <c r="Q50" s="113">
        <v>6</v>
      </c>
      <c r="R50" s="114"/>
      <c r="S50" s="115" t="str">
        <f t="shared" si="57"/>
        <v/>
      </c>
      <c r="T50" s="116"/>
      <c r="U50" s="116"/>
      <c r="V50" s="117" t="str">
        <f t="shared" si="54"/>
        <v/>
      </c>
      <c r="W50" s="116"/>
      <c r="X50" s="116"/>
      <c r="Y50" s="116"/>
      <c r="Z50" s="118" t="str">
        <f t="shared" si="58"/>
        <v/>
      </c>
      <c r="AA50" s="119" t="str">
        <f t="shared" si="0"/>
        <v/>
      </c>
      <c r="AB50" s="117" t="str">
        <f t="shared" si="55"/>
        <v/>
      </c>
      <c r="AC50" s="119" t="str">
        <f t="shared" si="2"/>
        <v/>
      </c>
      <c r="AD50" s="117" t="str">
        <f t="shared" si="59"/>
        <v/>
      </c>
      <c r="AE50" s="120" t="str">
        <f t="shared" si="60"/>
        <v/>
      </c>
      <c r="AF50" s="116"/>
      <c r="AG50" s="121"/>
      <c r="AH50" s="122"/>
      <c r="AI50" s="123"/>
      <c r="AJ50" s="123"/>
      <c r="AK50" s="121"/>
      <c r="AL50" s="122"/>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row>
    <row r="51" spans="1:70" x14ac:dyDescent="0.3">
      <c r="A51" s="216">
        <v>8</v>
      </c>
      <c r="B51" s="139"/>
      <c r="C51" s="139"/>
      <c r="D51" s="217"/>
      <c r="E51" s="212"/>
      <c r="F51" s="141"/>
      <c r="G51" s="217"/>
      <c r="H51" s="140"/>
      <c r="I51" s="218"/>
      <c r="J51" s="208" t="str">
        <f>IF(I51&lt;=0,"",IF(I51&lt;=2,"Muy Baja",IF(I51&lt;=24,"Baja",IF(I51&lt;=500,"Media",IF(I51&lt;=5000,"Alta","Muy Alta")))))</f>
        <v/>
      </c>
      <c r="K51" s="209" t="str">
        <f>IF(J51="","",IF(J51="Muy Baja",0.2,IF(J51="Baja",0.4,IF(J51="Media",0.6,IF(J51="Alta",0.8,IF(J51="Muy Alta",1,))))))</f>
        <v/>
      </c>
      <c r="L51" s="211"/>
      <c r="M51" s="209">
        <f>IF(NOT(ISERROR(MATCH(L51,'Tabla Impacto'!$B$221:$B$223,0))),'Tabla Impacto'!$F$223&amp;"Por favor no seleccionar los criterios de impacto(Afectación Económica o presupuestal y Pérdida Reputacional)",L51)</f>
        <v>0</v>
      </c>
      <c r="N51" s="208" t="str">
        <f>IF(OR(M51='Tabla Impacto'!$C$11,M51='Tabla Impacto'!$D$11),"Leve",IF(OR(M51='Tabla Impacto'!$C$12,M51='Tabla Impacto'!$D$12),"Menor",IF(OR(M51='Tabla Impacto'!$C$13,M51='Tabla Impacto'!$D$13),"Moderado",IF(OR(M51='Tabla Impacto'!$C$14,M51='Tabla Impacto'!$D$14),"Mayor",IF(OR(M51='Tabla Impacto'!$C$15,M51='Tabla Impacto'!$D$15),"Catastrófico","")))))</f>
        <v/>
      </c>
      <c r="O51" s="209" t="str">
        <f>IF(N51="","",IF(N51="Leve",0.2,IF(N51="Menor",0.4,IF(N51="Moderado",0.6,IF(N51="Mayor",0.8,IF(N51="Catastrófico",1,))))))</f>
        <v/>
      </c>
      <c r="P51" s="210" t="str">
        <f>IF(OR(AND(J51="Muy Baja",N51="Leve"),AND(J51="Muy Baja",N51="Menor"),AND(J51="Baja",N51="Leve")),"Bajo",IF(OR(AND(J51="Muy baja",N51="Moderado"),AND(J51="Baja",N51="Menor"),AND(J51="Baja",N51="Moderado"),AND(J51="Media",N51="Leve"),AND(J51="Media",N51="Menor"),AND(J51="Media",N51="Moderado"),AND(J51="Alta",N51="Leve"),AND(J51="Alta",N51="Menor")),"Moderado",IF(OR(AND(J51="Muy Baja",N51="Mayor"),AND(J51="Baja",N51="Mayor"),AND(J51="Media",N51="Mayor"),AND(J51="Alta",N51="Moderado"),AND(J51="Alta",N51="Mayor"),AND(J51="Muy Alta",N51="Leve"),AND(J51="Muy Alta",N51="Menor"),AND(J51="Muy Alta",N51="Moderado"),AND(J51="Muy Alta",N51="Mayor")),"Alto",IF(OR(AND(J51="Muy Baja",N51="Catastrófico"),AND(J51="Baja",N51="Catastrófico"),AND(J51="Media",N51="Catastrófico"),AND(J51="Alta",N51="Catastrófico"),AND(J51="Muy Alta",N51="Catastrófico")),"Extremo",""))))</f>
        <v/>
      </c>
      <c r="Q51" s="113">
        <v>1</v>
      </c>
      <c r="R51" s="114"/>
      <c r="S51" s="115" t="str">
        <f>IF(OR(T51="Preventivo",T51="Detectivo"),"Probabilidad",IF(T51="Correctivo","Impacto",""))</f>
        <v/>
      </c>
      <c r="T51" s="116"/>
      <c r="U51" s="116"/>
      <c r="V51" s="117" t="str">
        <f>IF(AND(T51="Preventivo",U51="Automático"),"50%",IF(AND(T51="Preventivo",U51="Manual"),"40%",IF(AND(T51="Detectivo",U51="Automático"),"40%",IF(AND(T51="Detectivo",U51="Manual"),"30%",IF(AND(T51="Correctivo",U51="Automático"),"35%",IF(AND(T51="Correctivo",U51="Manual"),"25%",""))))))</f>
        <v/>
      </c>
      <c r="W51" s="116"/>
      <c r="X51" s="116"/>
      <c r="Y51" s="116"/>
      <c r="Z51" s="118" t="str">
        <f>IFERROR(IF(S51="Probabilidad",(K51-(+K51*V51)),IF(S51="Impacto",K51,"")),"")</f>
        <v/>
      </c>
      <c r="AA51" s="119" t="str">
        <f>IFERROR(IF(Z51="","",IF(Z51&lt;=0.2,"Muy Baja",IF(Z51&lt;=0.4,"Baja",IF(Z51&lt;=0.6,"Media",IF(Z51&lt;=0.8,"Alta","Muy Alta"))))),"")</f>
        <v/>
      </c>
      <c r="AB51" s="117" t="str">
        <f>+Z51</f>
        <v/>
      </c>
      <c r="AC51" s="119" t="str">
        <f>IFERROR(IF(AD51="","",IF(AD51&lt;=0.2,"Leve",IF(AD51&lt;=0.4,"Menor",IF(AD51&lt;=0.6,"Moderado",IF(AD51&lt;=0.8,"Mayor","Catastrófico"))))),"")</f>
        <v/>
      </c>
      <c r="AD51" s="117" t="str">
        <f>IFERROR(IF(S51="Impacto",(O51-(+O51*V51)),IF(S51="Probabilidad",O51,"")),"")</f>
        <v/>
      </c>
      <c r="AE51" s="120" t="str">
        <f>IFERROR(IF(OR(AND(AA51="Muy Baja",AC51="Leve"),AND(AA51="Muy Baja",AC51="Menor"),AND(AA51="Baja",AC51="Leve")),"Bajo",IF(OR(AND(AA51="Muy baja",AC51="Moderado"),AND(AA51="Baja",AC51="Menor"),AND(AA51="Baja",AC51="Moderado"),AND(AA51="Media",AC51="Leve"),AND(AA51="Media",AC51="Menor"),AND(AA51="Media",AC51="Moderado"),AND(AA51="Alta",AC51="Leve"),AND(AA51="Alta",AC51="Menor")),"Moderado",IF(OR(AND(AA51="Muy Baja",AC51="Mayor"),AND(AA51="Baja",AC51="Mayor"),AND(AA51="Media",AC51="Mayor"),AND(AA51="Alta",AC51="Moderado"),AND(AA51="Alta",AC51="Mayor"),AND(AA51="Muy Alta",AC51="Leve"),AND(AA51="Muy Alta",AC51="Menor"),AND(AA51="Muy Alta",AC51="Moderado"),AND(AA51="Muy Alta",AC51="Mayor")),"Alto",IF(OR(AND(AA51="Muy Baja",AC51="Catastrófico"),AND(AA51="Baja",AC51="Catastrófico"),AND(AA51="Media",AC51="Catastrófico"),AND(AA51="Alta",AC51="Catastrófico"),AND(AA51="Muy Alta",AC51="Catastrófico")),"Extremo","")))),"")</f>
        <v/>
      </c>
      <c r="AF51" s="116"/>
      <c r="AG51" s="121"/>
      <c r="AH51" s="122"/>
      <c r="AI51" s="123"/>
      <c r="AJ51" s="123"/>
      <c r="AK51" s="121"/>
      <c r="AL51" s="122"/>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row>
    <row r="52" spans="1:70" x14ac:dyDescent="0.3">
      <c r="A52" s="216"/>
      <c r="B52" s="139"/>
      <c r="C52" s="139"/>
      <c r="D52" s="217"/>
      <c r="E52" s="212"/>
      <c r="F52" s="141"/>
      <c r="G52" s="217"/>
      <c r="H52" s="140"/>
      <c r="I52" s="218"/>
      <c r="J52" s="208"/>
      <c r="K52" s="209"/>
      <c r="L52" s="211"/>
      <c r="M52" s="209">
        <f ca="1">IF(NOT(ISERROR(MATCH(L52,_xlfn.ANCHORARRAY(E63),0))),K65&amp;"Por favor no seleccionar los criterios de impacto",L52)</f>
        <v>0</v>
      </c>
      <c r="N52" s="208"/>
      <c r="O52" s="209"/>
      <c r="P52" s="210"/>
      <c r="Q52" s="113">
        <v>2</v>
      </c>
      <c r="R52" s="114"/>
      <c r="S52" s="115" t="str">
        <f>IF(OR(T52="Preventivo",T52="Detectivo"),"Probabilidad",IF(T52="Correctivo","Impacto",""))</f>
        <v/>
      </c>
      <c r="T52" s="116"/>
      <c r="U52" s="116"/>
      <c r="V52" s="117" t="str">
        <f t="shared" ref="V52:V56" si="61">IF(AND(T52="Preventivo",U52="Automático"),"50%",IF(AND(T52="Preventivo",U52="Manual"),"40%",IF(AND(T52="Detectivo",U52="Automático"),"40%",IF(AND(T52="Detectivo",U52="Manual"),"30%",IF(AND(T52="Correctivo",U52="Automático"),"35%",IF(AND(T52="Correctivo",U52="Manual"),"25%",""))))))</f>
        <v/>
      </c>
      <c r="W52" s="116"/>
      <c r="X52" s="116"/>
      <c r="Y52" s="116"/>
      <c r="Z52" s="118" t="str">
        <f>IFERROR(IF(AND(S51="Probabilidad",S52="Probabilidad"),(AB51-(+AB51*V52)),IF(S52="Probabilidad",(K51-(+K51*V52)),IF(S52="Impacto",AB51,""))),"")</f>
        <v/>
      </c>
      <c r="AA52" s="119" t="str">
        <f t="shared" si="0"/>
        <v/>
      </c>
      <c r="AB52" s="117" t="str">
        <f t="shared" ref="AB52:AB56" si="62">+Z52</f>
        <v/>
      </c>
      <c r="AC52" s="119" t="str">
        <f t="shared" si="2"/>
        <v/>
      </c>
      <c r="AD52" s="117" t="str">
        <f>IFERROR(IF(AND(S51="Impacto",S52="Impacto"),(AD45-(+AD45*V52)),IF(S52="Impacto",($O$51-(+$O$51*V52)),IF(S52="Probabilidad",AD45,""))),"")</f>
        <v/>
      </c>
      <c r="AE52" s="120" t="str">
        <f t="shared" ref="AE52:AE53" si="63">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
      </c>
      <c r="AF52" s="116"/>
      <c r="AG52" s="121"/>
      <c r="AH52" s="122"/>
      <c r="AI52" s="123"/>
      <c r="AJ52" s="123"/>
      <c r="AK52" s="121"/>
      <c r="AL52" s="122"/>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1:70" x14ac:dyDescent="0.3">
      <c r="A53" s="216"/>
      <c r="B53" s="139"/>
      <c r="C53" s="139"/>
      <c r="D53" s="217"/>
      <c r="E53" s="212"/>
      <c r="F53" s="141"/>
      <c r="G53" s="217"/>
      <c r="H53" s="140"/>
      <c r="I53" s="218"/>
      <c r="J53" s="208"/>
      <c r="K53" s="209"/>
      <c r="L53" s="211"/>
      <c r="M53" s="209">
        <f ca="1">IF(NOT(ISERROR(MATCH(L53,_xlfn.ANCHORARRAY(E64),0))),K66&amp;"Por favor no seleccionar los criterios de impacto",L53)</f>
        <v>0</v>
      </c>
      <c r="N53" s="208"/>
      <c r="O53" s="209"/>
      <c r="P53" s="210"/>
      <c r="Q53" s="113">
        <v>3</v>
      </c>
      <c r="R53" s="126"/>
      <c r="S53" s="115" t="str">
        <f>IF(OR(T53="Preventivo",T53="Detectivo"),"Probabilidad",IF(T53="Correctivo","Impacto",""))</f>
        <v/>
      </c>
      <c r="T53" s="116"/>
      <c r="U53" s="116"/>
      <c r="V53" s="117" t="str">
        <f t="shared" si="61"/>
        <v/>
      </c>
      <c r="W53" s="116"/>
      <c r="X53" s="116"/>
      <c r="Y53" s="116"/>
      <c r="Z53" s="118" t="str">
        <f>IFERROR(IF(AND(S52="Probabilidad",S53="Probabilidad"),(AB52-(+AB52*V53)),IF(AND(S52="Impacto",S53="Probabilidad"),(AB51-(+AB51*V53)),IF(S53="Impacto",AB52,""))),"")</f>
        <v/>
      </c>
      <c r="AA53" s="119" t="str">
        <f t="shared" si="0"/>
        <v/>
      </c>
      <c r="AB53" s="117" t="str">
        <f t="shared" si="62"/>
        <v/>
      </c>
      <c r="AC53" s="119" t="str">
        <f t="shared" si="2"/>
        <v/>
      </c>
      <c r="AD53" s="117" t="str">
        <f>IFERROR(IF(AND(S52="Impacto",S53="Impacto"),(AD52-(+AD52*V53)),IF(AND(S52="Probabilidad",S53="Impacto"),(AD51-(+AD51*V53)),IF(S53="Probabilidad",AD52,""))),"")</f>
        <v/>
      </c>
      <c r="AE53" s="120" t="str">
        <f t="shared" si="63"/>
        <v/>
      </c>
      <c r="AF53" s="116"/>
      <c r="AG53" s="121"/>
      <c r="AH53" s="122"/>
      <c r="AI53" s="123"/>
      <c r="AJ53" s="123"/>
      <c r="AK53" s="121"/>
      <c r="AL53" s="122"/>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row>
    <row r="54" spans="1:70" x14ac:dyDescent="0.3">
      <c r="A54" s="216"/>
      <c r="B54" s="139"/>
      <c r="C54" s="139"/>
      <c r="D54" s="217"/>
      <c r="E54" s="212"/>
      <c r="F54" s="141"/>
      <c r="G54" s="217"/>
      <c r="H54" s="140"/>
      <c r="I54" s="218"/>
      <c r="J54" s="208"/>
      <c r="K54" s="209"/>
      <c r="L54" s="211"/>
      <c r="M54" s="209">
        <f ca="1">IF(NOT(ISERROR(MATCH(L54,_xlfn.ANCHORARRAY(E65),0))),K67&amp;"Por favor no seleccionar los criterios de impacto",L54)</f>
        <v>0</v>
      </c>
      <c r="N54" s="208"/>
      <c r="O54" s="209"/>
      <c r="P54" s="210"/>
      <c r="Q54" s="113">
        <v>4</v>
      </c>
      <c r="R54" s="114"/>
      <c r="S54" s="115" t="str">
        <f t="shared" ref="S54:S56" si="64">IF(OR(T54="Preventivo",T54="Detectivo"),"Probabilidad",IF(T54="Correctivo","Impacto",""))</f>
        <v/>
      </c>
      <c r="T54" s="116"/>
      <c r="U54" s="116"/>
      <c r="V54" s="117" t="str">
        <f t="shared" si="61"/>
        <v/>
      </c>
      <c r="W54" s="116"/>
      <c r="X54" s="116"/>
      <c r="Y54" s="116"/>
      <c r="Z54" s="118" t="str">
        <f t="shared" ref="Z54:Z56" si="65">IFERROR(IF(AND(S53="Probabilidad",S54="Probabilidad"),(AB53-(+AB53*V54)),IF(AND(S53="Impacto",S54="Probabilidad"),(AB52-(+AB52*V54)),IF(S54="Impacto",AB53,""))),"")</f>
        <v/>
      </c>
      <c r="AA54" s="119" t="str">
        <f t="shared" si="0"/>
        <v/>
      </c>
      <c r="AB54" s="117" t="str">
        <f t="shared" si="62"/>
        <v/>
      </c>
      <c r="AC54" s="119" t="str">
        <f t="shared" si="2"/>
        <v/>
      </c>
      <c r="AD54" s="117" t="str">
        <f t="shared" ref="AD54:AD56" si="66">IFERROR(IF(AND(S53="Impacto",S54="Impacto"),(AD53-(+AD53*V54)),IF(AND(S53="Probabilidad",S54="Impacto"),(AD52-(+AD52*V54)),IF(S54="Probabilidad",AD53,""))),"")</f>
        <v/>
      </c>
      <c r="AE54" s="120" t="str">
        <f>IFERROR(IF(OR(AND(AA54="Muy Baja",AC54="Leve"),AND(AA54="Muy Baja",AC54="Menor"),AND(AA54="Baja",AC54="Leve")),"Bajo",IF(OR(AND(AA54="Muy baja",AC54="Moderado"),AND(AA54="Baja",AC54="Menor"),AND(AA54="Baja",AC54="Moderado"),AND(AA54="Media",AC54="Leve"),AND(AA54="Media",AC54="Menor"),AND(AA54="Media",AC54="Moderado"),AND(AA54="Alta",AC54="Leve"),AND(AA54="Alta",AC54="Menor")),"Moderado",IF(OR(AND(AA54="Muy Baja",AC54="Mayor"),AND(AA54="Baja",AC54="Mayor"),AND(AA54="Media",AC54="Mayor"),AND(AA54="Alta",AC54="Moderado"),AND(AA54="Alta",AC54="Mayor"),AND(AA54="Muy Alta",AC54="Leve"),AND(AA54="Muy Alta",AC54="Menor"),AND(AA54="Muy Alta",AC54="Moderado"),AND(AA54="Muy Alta",AC54="Mayor")),"Alto",IF(OR(AND(AA54="Muy Baja",AC54="Catastrófico"),AND(AA54="Baja",AC54="Catastrófico"),AND(AA54="Media",AC54="Catastrófico"),AND(AA54="Alta",AC54="Catastrófico"),AND(AA54="Muy Alta",AC54="Catastrófico")),"Extremo","")))),"")</f>
        <v/>
      </c>
      <c r="AF54" s="116"/>
      <c r="AG54" s="121"/>
      <c r="AH54" s="122"/>
      <c r="AI54" s="123"/>
      <c r="AJ54" s="123"/>
      <c r="AK54" s="121"/>
      <c r="AL54" s="122"/>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row>
    <row r="55" spans="1:70" x14ac:dyDescent="0.3">
      <c r="A55" s="216"/>
      <c r="B55" s="139"/>
      <c r="C55" s="139"/>
      <c r="D55" s="217"/>
      <c r="E55" s="212"/>
      <c r="F55" s="141"/>
      <c r="G55" s="217"/>
      <c r="H55" s="140"/>
      <c r="I55" s="218"/>
      <c r="J55" s="208"/>
      <c r="K55" s="209"/>
      <c r="L55" s="211"/>
      <c r="M55" s="209">
        <f ca="1">IF(NOT(ISERROR(MATCH(L55,_xlfn.ANCHORARRAY(E66),0))),K68&amp;"Por favor no seleccionar los criterios de impacto",L55)</f>
        <v>0</v>
      </c>
      <c r="N55" s="208"/>
      <c r="O55" s="209"/>
      <c r="P55" s="210"/>
      <c r="Q55" s="113">
        <v>5</v>
      </c>
      <c r="R55" s="114"/>
      <c r="S55" s="115" t="str">
        <f t="shared" si="64"/>
        <v/>
      </c>
      <c r="T55" s="116"/>
      <c r="U55" s="116"/>
      <c r="V55" s="117" t="str">
        <f t="shared" si="61"/>
        <v/>
      </c>
      <c r="W55" s="116"/>
      <c r="X55" s="116"/>
      <c r="Y55" s="116"/>
      <c r="Z55" s="118" t="str">
        <f t="shared" si="65"/>
        <v/>
      </c>
      <c r="AA55" s="119" t="str">
        <f t="shared" si="0"/>
        <v/>
      </c>
      <c r="AB55" s="117" t="str">
        <f t="shared" si="62"/>
        <v/>
      </c>
      <c r="AC55" s="119" t="str">
        <f t="shared" si="2"/>
        <v/>
      </c>
      <c r="AD55" s="117" t="str">
        <f t="shared" si="66"/>
        <v/>
      </c>
      <c r="AE55" s="120" t="str">
        <f t="shared" ref="AE55:AE56" si="67">IFERROR(IF(OR(AND(AA55="Muy Baja",AC55="Leve"),AND(AA55="Muy Baja",AC55="Menor"),AND(AA55="Baja",AC55="Leve")),"Bajo",IF(OR(AND(AA55="Muy baja",AC55="Moderado"),AND(AA55="Baja",AC55="Menor"),AND(AA55="Baja",AC55="Moderado"),AND(AA55="Media",AC55="Leve"),AND(AA55="Media",AC55="Menor"),AND(AA55="Media",AC55="Moderado"),AND(AA55="Alta",AC55="Leve"),AND(AA55="Alta",AC55="Menor")),"Moderado",IF(OR(AND(AA55="Muy Baja",AC55="Mayor"),AND(AA55="Baja",AC55="Mayor"),AND(AA55="Media",AC55="Mayor"),AND(AA55="Alta",AC55="Moderado"),AND(AA55="Alta",AC55="Mayor"),AND(AA55="Muy Alta",AC55="Leve"),AND(AA55="Muy Alta",AC55="Menor"),AND(AA55="Muy Alta",AC55="Moderado"),AND(AA55="Muy Alta",AC55="Mayor")),"Alto",IF(OR(AND(AA55="Muy Baja",AC55="Catastrófico"),AND(AA55="Baja",AC55="Catastrófico"),AND(AA55="Media",AC55="Catastrófico"),AND(AA55="Alta",AC55="Catastrófico"),AND(AA55="Muy Alta",AC55="Catastrófico")),"Extremo","")))),"")</f>
        <v/>
      </c>
      <c r="AF55" s="116"/>
      <c r="AG55" s="121"/>
      <c r="AH55" s="122"/>
      <c r="AI55" s="123"/>
      <c r="AJ55" s="123"/>
      <c r="AK55" s="121"/>
      <c r="AL55" s="122"/>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row>
    <row r="56" spans="1:70" x14ac:dyDescent="0.3">
      <c r="A56" s="216"/>
      <c r="B56" s="139"/>
      <c r="C56" s="139"/>
      <c r="D56" s="217"/>
      <c r="E56" s="212"/>
      <c r="F56" s="141"/>
      <c r="G56" s="217"/>
      <c r="H56" s="140"/>
      <c r="I56" s="218"/>
      <c r="J56" s="208"/>
      <c r="K56" s="209"/>
      <c r="L56" s="211"/>
      <c r="M56" s="209">
        <f ca="1">IF(NOT(ISERROR(MATCH(L56,_xlfn.ANCHORARRAY(E67),0))),K70&amp;"Por favor no seleccionar los criterios de impacto",L56)</f>
        <v>0</v>
      </c>
      <c r="N56" s="208"/>
      <c r="O56" s="209"/>
      <c r="P56" s="210"/>
      <c r="Q56" s="113">
        <v>6</v>
      </c>
      <c r="R56" s="114"/>
      <c r="S56" s="115" t="str">
        <f t="shared" si="64"/>
        <v/>
      </c>
      <c r="T56" s="116"/>
      <c r="U56" s="116"/>
      <c r="V56" s="117" t="str">
        <f t="shared" si="61"/>
        <v/>
      </c>
      <c r="W56" s="116"/>
      <c r="X56" s="116"/>
      <c r="Y56" s="116"/>
      <c r="Z56" s="118" t="str">
        <f t="shared" si="65"/>
        <v/>
      </c>
      <c r="AA56" s="119" t="str">
        <f t="shared" si="0"/>
        <v/>
      </c>
      <c r="AB56" s="117" t="str">
        <f t="shared" si="62"/>
        <v/>
      </c>
      <c r="AC56" s="119" t="str">
        <f t="shared" si="2"/>
        <v/>
      </c>
      <c r="AD56" s="117" t="str">
        <f t="shared" si="66"/>
        <v/>
      </c>
      <c r="AE56" s="120" t="str">
        <f t="shared" si="67"/>
        <v/>
      </c>
      <c r="AF56" s="116"/>
      <c r="AG56" s="121"/>
      <c r="AH56" s="122"/>
      <c r="AI56" s="123"/>
      <c r="AJ56" s="123"/>
      <c r="AK56" s="121"/>
      <c r="AL56" s="122"/>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row>
    <row r="57" spans="1:70" x14ac:dyDescent="0.3">
      <c r="A57" s="216">
        <v>9</v>
      </c>
      <c r="B57" s="139"/>
      <c r="C57" s="139"/>
      <c r="D57" s="217"/>
      <c r="E57" s="212"/>
      <c r="F57" s="141"/>
      <c r="G57" s="217"/>
      <c r="H57" s="140"/>
      <c r="I57" s="218"/>
      <c r="J57" s="208" t="str">
        <f>IF(I57&lt;=0,"",IF(I57&lt;=2,"Muy Baja",IF(I57&lt;=24,"Baja",IF(I57&lt;=500,"Media",IF(I57&lt;=5000,"Alta","Muy Alta")))))</f>
        <v/>
      </c>
      <c r="K57" s="209" t="str">
        <f>IF(J57="","",IF(J57="Muy Baja",0.2,IF(J57="Baja",0.4,IF(J57="Media",0.6,IF(J57="Alta",0.8,IF(J57="Muy Alta",1,))))))</f>
        <v/>
      </c>
      <c r="L57" s="211"/>
      <c r="M57" s="209">
        <f>IF(NOT(ISERROR(MATCH(L57,'Tabla Impacto'!$B$221:$B$223,0))),'Tabla Impacto'!$F$223&amp;"Por favor no seleccionar los criterios de impacto(Afectación Económica o presupuestal y Pérdida Reputacional)",L57)</f>
        <v>0</v>
      </c>
      <c r="N57" s="208" t="str">
        <f>IF(OR(M57='Tabla Impacto'!$C$11,M57='Tabla Impacto'!$D$11),"Leve",IF(OR(M57='Tabla Impacto'!$C$12,M57='Tabla Impacto'!$D$12),"Menor",IF(OR(M57='Tabla Impacto'!$C$13,M57='Tabla Impacto'!$D$13),"Moderado",IF(OR(M57='Tabla Impacto'!$C$14,M57='Tabla Impacto'!$D$14),"Mayor",IF(OR(M57='Tabla Impacto'!$C$15,M57='Tabla Impacto'!$D$15),"Catastrófico","")))))</f>
        <v/>
      </c>
      <c r="O57" s="209" t="str">
        <f>IF(N57="","",IF(N57="Leve",0.2,IF(N57="Menor",0.4,IF(N57="Moderado",0.6,IF(N57="Mayor",0.8,IF(N57="Catastrófico",1,))))))</f>
        <v/>
      </c>
      <c r="P57" s="210" t="str">
        <f>IF(OR(AND(J57="Muy Baja",N57="Leve"),AND(J57="Muy Baja",N57="Menor"),AND(J57="Baja",N57="Leve")),"Bajo",IF(OR(AND(J57="Muy baja",N57="Moderado"),AND(J57="Baja",N57="Menor"),AND(J57="Baja",N57="Moderado"),AND(J57="Media",N57="Leve"),AND(J57="Media",N57="Menor"),AND(J57="Media",N57="Moderado"),AND(J57="Alta",N57="Leve"),AND(J57="Alta",N57="Menor")),"Moderado",IF(OR(AND(J57="Muy Baja",N57="Mayor"),AND(J57="Baja",N57="Mayor"),AND(J57="Media",N57="Mayor"),AND(J57="Alta",N57="Moderado"),AND(J57="Alta",N57="Mayor"),AND(J57="Muy Alta",N57="Leve"),AND(J57="Muy Alta",N57="Menor"),AND(J57="Muy Alta",N57="Moderado"),AND(J57="Muy Alta",N57="Mayor")),"Alto",IF(OR(AND(J57="Muy Baja",N57="Catastrófico"),AND(J57="Baja",N57="Catastrófico"),AND(J57="Media",N57="Catastrófico"),AND(J57="Alta",N57="Catastrófico"),AND(J57="Muy Alta",N57="Catastrófico")),"Extremo",""))))</f>
        <v/>
      </c>
      <c r="Q57" s="113">
        <v>1</v>
      </c>
      <c r="R57" s="114"/>
      <c r="S57" s="115" t="str">
        <f>IF(OR(T57="Preventivo",T57="Detectivo"),"Probabilidad",IF(T57="Correctivo","Impacto",""))</f>
        <v/>
      </c>
      <c r="T57" s="116"/>
      <c r="U57" s="116"/>
      <c r="V57" s="117" t="str">
        <f>IF(AND(T57="Preventivo",U57="Automático"),"50%",IF(AND(T57="Preventivo",U57="Manual"),"40%",IF(AND(T57="Detectivo",U57="Automático"),"40%",IF(AND(T57="Detectivo",U57="Manual"),"30%",IF(AND(T57="Correctivo",U57="Automático"),"35%",IF(AND(T57="Correctivo",U57="Manual"),"25%",""))))))</f>
        <v/>
      </c>
      <c r="W57" s="116"/>
      <c r="X57" s="116"/>
      <c r="Y57" s="116"/>
      <c r="Z57" s="118" t="str">
        <f>IFERROR(IF(S57="Probabilidad",(K57-(+K57*V57)),IF(S57="Impacto",K57,"")),"")</f>
        <v/>
      </c>
      <c r="AA57" s="119" t="str">
        <f>IFERROR(IF(Z57="","",IF(Z57&lt;=0.2,"Muy Baja",IF(Z57&lt;=0.4,"Baja",IF(Z57&lt;=0.6,"Media",IF(Z57&lt;=0.8,"Alta","Muy Alta"))))),"")</f>
        <v/>
      </c>
      <c r="AB57" s="117" t="str">
        <f>+Z57</f>
        <v/>
      </c>
      <c r="AC57" s="119" t="str">
        <f>IFERROR(IF(AD57="","",IF(AD57&lt;=0.2,"Leve",IF(AD57&lt;=0.4,"Menor",IF(AD57&lt;=0.6,"Moderado",IF(AD57&lt;=0.8,"Mayor","Catastrófico"))))),"")</f>
        <v/>
      </c>
      <c r="AD57" s="117" t="str">
        <f>IFERROR(IF(S57="Impacto",(O57-(+O57*V57)),IF(S57="Probabilidad",O57,"")),"")</f>
        <v/>
      </c>
      <c r="AE57" s="120" t="str">
        <f>IFERROR(IF(OR(AND(AA57="Muy Baja",AC57="Leve"),AND(AA57="Muy Baja",AC57="Menor"),AND(AA57="Baja",AC57="Leve")),"Bajo",IF(OR(AND(AA57="Muy baja",AC57="Moderado"),AND(AA57="Baja",AC57="Menor"),AND(AA57="Baja",AC57="Moderado"),AND(AA57="Media",AC57="Leve"),AND(AA57="Media",AC57="Menor"),AND(AA57="Media",AC57="Moderado"),AND(AA57="Alta",AC57="Leve"),AND(AA57="Alta",AC57="Menor")),"Moderado",IF(OR(AND(AA57="Muy Baja",AC57="Mayor"),AND(AA57="Baja",AC57="Mayor"),AND(AA57="Media",AC57="Mayor"),AND(AA57="Alta",AC57="Moderado"),AND(AA57="Alta",AC57="Mayor"),AND(AA57="Muy Alta",AC57="Leve"),AND(AA57="Muy Alta",AC57="Menor"),AND(AA57="Muy Alta",AC57="Moderado"),AND(AA57="Muy Alta",AC57="Mayor")),"Alto",IF(OR(AND(AA57="Muy Baja",AC57="Catastrófico"),AND(AA57="Baja",AC57="Catastrófico"),AND(AA57="Media",AC57="Catastrófico"),AND(AA57="Alta",AC57="Catastrófico"),AND(AA57="Muy Alta",AC57="Catastrófico")),"Extremo","")))),"")</f>
        <v/>
      </c>
      <c r="AF57" s="116"/>
      <c r="AG57" s="121"/>
      <c r="AH57" s="122"/>
      <c r="AI57" s="123"/>
      <c r="AJ57" s="123"/>
      <c r="AK57" s="121"/>
      <c r="AL57" s="122"/>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row>
    <row r="58" spans="1:70" x14ac:dyDescent="0.3">
      <c r="A58" s="216"/>
      <c r="B58" s="139"/>
      <c r="C58" s="139"/>
      <c r="D58" s="217"/>
      <c r="E58" s="212"/>
      <c r="F58" s="141"/>
      <c r="G58" s="217"/>
      <c r="H58" s="140"/>
      <c r="I58" s="218"/>
      <c r="J58" s="208"/>
      <c r="K58" s="209"/>
      <c r="L58" s="211"/>
      <c r="M58" s="209">
        <f ca="1">IF(NOT(ISERROR(MATCH(L58,_xlfn.ANCHORARRAY(E70),0))),K72&amp;"Por favor no seleccionar los criterios de impacto",L58)</f>
        <v>0</v>
      </c>
      <c r="N58" s="208"/>
      <c r="O58" s="209"/>
      <c r="P58" s="210"/>
      <c r="Q58" s="113">
        <v>2</v>
      </c>
      <c r="R58" s="114"/>
      <c r="S58" s="115" t="str">
        <f>IF(OR(T58="Preventivo",T58="Detectivo"),"Probabilidad",IF(T58="Correctivo","Impacto",""))</f>
        <v/>
      </c>
      <c r="T58" s="116"/>
      <c r="U58" s="116"/>
      <c r="V58" s="117" t="str">
        <f t="shared" ref="V58:V62" si="68">IF(AND(T58="Preventivo",U58="Automático"),"50%",IF(AND(T58="Preventivo",U58="Manual"),"40%",IF(AND(T58="Detectivo",U58="Automático"),"40%",IF(AND(T58="Detectivo",U58="Manual"),"30%",IF(AND(T58="Correctivo",U58="Automático"),"35%",IF(AND(T58="Correctivo",U58="Manual"),"25%",""))))))</f>
        <v/>
      </c>
      <c r="W58" s="116"/>
      <c r="X58" s="116"/>
      <c r="Y58" s="116"/>
      <c r="Z58" s="118" t="str">
        <f>IFERROR(IF(AND(S57="Probabilidad",S58="Probabilidad"),(AB57-(+AB57*V58)),IF(S58="Probabilidad",(K57-(+K57*V58)),IF(S58="Impacto",AB57,""))),"")</f>
        <v/>
      </c>
      <c r="AA58" s="119" t="str">
        <f t="shared" si="0"/>
        <v/>
      </c>
      <c r="AB58" s="117" t="str">
        <f t="shared" ref="AB58:AB62" si="69">+Z58</f>
        <v/>
      </c>
      <c r="AC58" s="119" t="str">
        <f t="shared" si="2"/>
        <v/>
      </c>
      <c r="AD58" s="117" t="str">
        <f>IFERROR(IF(AND(S57="Impacto",S58="Impacto"),(AD51-(+AD51*V58)),IF(S58="Impacto",($O$57-(+$O$57*V58)),IF(S58="Probabilidad",AD51,""))),"")</f>
        <v/>
      </c>
      <c r="AE58" s="120" t="str">
        <f t="shared" ref="AE58:AE59" si="70">IFERROR(IF(OR(AND(AA58="Muy Baja",AC58="Leve"),AND(AA58="Muy Baja",AC58="Menor"),AND(AA58="Baja",AC58="Leve")),"Bajo",IF(OR(AND(AA58="Muy baja",AC58="Moderado"),AND(AA58="Baja",AC58="Menor"),AND(AA58="Baja",AC58="Moderado"),AND(AA58="Media",AC58="Leve"),AND(AA58="Media",AC58="Menor"),AND(AA58="Media",AC58="Moderado"),AND(AA58="Alta",AC58="Leve"),AND(AA58="Alta",AC58="Menor")),"Moderado",IF(OR(AND(AA58="Muy Baja",AC58="Mayor"),AND(AA58="Baja",AC58="Mayor"),AND(AA58="Media",AC58="Mayor"),AND(AA58="Alta",AC58="Moderado"),AND(AA58="Alta",AC58="Mayor"),AND(AA58="Muy Alta",AC58="Leve"),AND(AA58="Muy Alta",AC58="Menor"),AND(AA58="Muy Alta",AC58="Moderado"),AND(AA58="Muy Alta",AC58="Mayor")),"Alto",IF(OR(AND(AA58="Muy Baja",AC58="Catastrófico"),AND(AA58="Baja",AC58="Catastrófico"),AND(AA58="Media",AC58="Catastrófico"),AND(AA58="Alta",AC58="Catastrófico"),AND(AA58="Muy Alta",AC58="Catastrófico")),"Extremo","")))),"")</f>
        <v/>
      </c>
      <c r="AF58" s="116"/>
      <c r="AG58" s="121"/>
      <c r="AH58" s="122"/>
      <c r="AI58" s="123"/>
      <c r="AJ58" s="123"/>
      <c r="AK58" s="121"/>
      <c r="AL58" s="122"/>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row>
    <row r="59" spans="1:70" x14ac:dyDescent="0.3">
      <c r="A59" s="216"/>
      <c r="B59" s="139"/>
      <c r="C59" s="139"/>
      <c r="D59" s="217"/>
      <c r="E59" s="212"/>
      <c r="F59" s="141"/>
      <c r="G59" s="217"/>
      <c r="H59" s="140"/>
      <c r="I59" s="218"/>
      <c r="J59" s="208"/>
      <c r="K59" s="209"/>
      <c r="L59" s="211"/>
      <c r="M59" s="209">
        <f ca="1">IF(NOT(ISERROR(MATCH(L59,_xlfn.ANCHORARRAY(E71),0))),K73&amp;"Por favor no seleccionar los criterios de impacto",L59)</f>
        <v>0</v>
      </c>
      <c r="N59" s="208"/>
      <c r="O59" s="209"/>
      <c r="P59" s="210"/>
      <c r="Q59" s="113">
        <v>3</v>
      </c>
      <c r="R59" s="126"/>
      <c r="S59" s="115" t="str">
        <f>IF(OR(T59="Preventivo",T59="Detectivo"),"Probabilidad",IF(T59="Correctivo","Impacto",""))</f>
        <v/>
      </c>
      <c r="T59" s="116"/>
      <c r="U59" s="116"/>
      <c r="V59" s="117" t="str">
        <f t="shared" si="68"/>
        <v/>
      </c>
      <c r="W59" s="116"/>
      <c r="X59" s="116"/>
      <c r="Y59" s="116"/>
      <c r="Z59" s="118" t="str">
        <f>IFERROR(IF(AND(S58="Probabilidad",S59="Probabilidad"),(AB58-(+AB58*V59)),IF(AND(S58="Impacto",S59="Probabilidad"),(AB57-(+AB57*V59)),IF(S59="Impacto",AB58,""))),"")</f>
        <v/>
      </c>
      <c r="AA59" s="119" t="str">
        <f t="shared" si="0"/>
        <v/>
      </c>
      <c r="AB59" s="117" t="str">
        <f t="shared" si="69"/>
        <v/>
      </c>
      <c r="AC59" s="119" t="str">
        <f t="shared" si="2"/>
        <v/>
      </c>
      <c r="AD59" s="117" t="str">
        <f>IFERROR(IF(AND(S58="Impacto",S59="Impacto"),(AD58-(+AD58*V59)),IF(AND(S58="Probabilidad",S59="Impacto"),(AD57-(+AD57*V59)),IF(S59="Probabilidad",AD58,""))),"")</f>
        <v/>
      </c>
      <c r="AE59" s="120" t="str">
        <f t="shared" si="70"/>
        <v/>
      </c>
      <c r="AF59" s="116"/>
      <c r="AG59" s="121"/>
      <c r="AH59" s="122"/>
      <c r="AI59" s="123"/>
      <c r="AJ59" s="123"/>
      <c r="AK59" s="121"/>
      <c r="AL59" s="122"/>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row>
    <row r="60" spans="1:70" x14ac:dyDescent="0.3">
      <c r="A60" s="216"/>
      <c r="B60" s="139"/>
      <c r="C60" s="139"/>
      <c r="D60" s="217"/>
      <c r="E60" s="212"/>
      <c r="F60" s="141"/>
      <c r="G60" s="217"/>
      <c r="H60" s="140"/>
      <c r="I60" s="218"/>
      <c r="J60" s="208"/>
      <c r="K60" s="209"/>
      <c r="L60" s="211"/>
      <c r="M60" s="209">
        <f ca="1">IF(NOT(ISERROR(MATCH(L60,_xlfn.ANCHORARRAY(E72),0))),K74&amp;"Por favor no seleccionar los criterios de impacto",L60)</f>
        <v>0</v>
      </c>
      <c r="N60" s="208"/>
      <c r="O60" s="209"/>
      <c r="P60" s="210"/>
      <c r="Q60" s="113">
        <v>4</v>
      </c>
      <c r="R60" s="114"/>
      <c r="S60" s="115" t="str">
        <f t="shared" ref="S60:S62" si="71">IF(OR(T60="Preventivo",T60="Detectivo"),"Probabilidad",IF(T60="Correctivo","Impacto",""))</f>
        <v/>
      </c>
      <c r="T60" s="116"/>
      <c r="U60" s="116"/>
      <c r="V60" s="117" t="str">
        <f t="shared" si="68"/>
        <v/>
      </c>
      <c r="W60" s="116"/>
      <c r="X60" s="116"/>
      <c r="Y60" s="116"/>
      <c r="Z60" s="118" t="str">
        <f t="shared" ref="Z60:Z62" si="72">IFERROR(IF(AND(S59="Probabilidad",S60="Probabilidad"),(AB59-(+AB59*V60)),IF(AND(S59="Impacto",S60="Probabilidad"),(AB58-(+AB58*V60)),IF(S60="Impacto",AB59,""))),"")</f>
        <v/>
      </c>
      <c r="AA60" s="119" t="str">
        <f t="shared" si="0"/>
        <v/>
      </c>
      <c r="AB60" s="117" t="str">
        <f t="shared" si="69"/>
        <v/>
      </c>
      <c r="AC60" s="119" t="str">
        <f t="shared" si="2"/>
        <v/>
      </c>
      <c r="AD60" s="117" t="str">
        <f t="shared" ref="AD60:AD62" si="73">IFERROR(IF(AND(S59="Impacto",S60="Impacto"),(AD59-(+AD59*V60)),IF(AND(S59="Probabilidad",S60="Impacto"),(AD58-(+AD58*V60)),IF(S60="Probabilidad",AD59,""))),"")</f>
        <v/>
      </c>
      <c r="AE60" s="120" t="str">
        <f>IFERROR(IF(OR(AND(AA60="Muy Baja",AC60="Leve"),AND(AA60="Muy Baja",AC60="Menor"),AND(AA60="Baja",AC60="Leve")),"Bajo",IF(OR(AND(AA60="Muy baja",AC60="Moderado"),AND(AA60="Baja",AC60="Menor"),AND(AA60="Baja",AC60="Moderado"),AND(AA60="Media",AC60="Leve"),AND(AA60="Media",AC60="Menor"),AND(AA60="Media",AC60="Moderado"),AND(AA60="Alta",AC60="Leve"),AND(AA60="Alta",AC60="Menor")),"Moderado",IF(OR(AND(AA60="Muy Baja",AC60="Mayor"),AND(AA60="Baja",AC60="Mayor"),AND(AA60="Media",AC60="Mayor"),AND(AA60="Alta",AC60="Moderado"),AND(AA60="Alta",AC60="Mayor"),AND(AA60="Muy Alta",AC60="Leve"),AND(AA60="Muy Alta",AC60="Menor"),AND(AA60="Muy Alta",AC60="Moderado"),AND(AA60="Muy Alta",AC60="Mayor")),"Alto",IF(OR(AND(AA60="Muy Baja",AC60="Catastrófico"),AND(AA60="Baja",AC60="Catastrófico"),AND(AA60="Media",AC60="Catastrófico"),AND(AA60="Alta",AC60="Catastrófico"),AND(AA60="Muy Alta",AC60="Catastrófico")),"Extremo","")))),"")</f>
        <v/>
      </c>
      <c r="AF60" s="116"/>
      <c r="AG60" s="121"/>
      <c r="AH60" s="122"/>
      <c r="AI60" s="123"/>
      <c r="AJ60" s="123"/>
      <c r="AK60" s="121"/>
      <c r="AL60" s="122"/>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row>
    <row r="61" spans="1:70" x14ac:dyDescent="0.3">
      <c r="A61" s="216"/>
      <c r="B61" s="139"/>
      <c r="C61" s="139"/>
      <c r="D61" s="217"/>
      <c r="E61" s="212"/>
      <c r="F61" s="141"/>
      <c r="G61" s="217"/>
      <c r="H61" s="140"/>
      <c r="I61" s="218"/>
      <c r="J61" s="208"/>
      <c r="K61" s="209"/>
      <c r="L61" s="211"/>
      <c r="M61" s="209">
        <f ca="1">IF(NOT(ISERROR(MATCH(L61,_xlfn.ANCHORARRAY(E73),0))),K75&amp;"Por favor no seleccionar los criterios de impacto",L61)</f>
        <v>0</v>
      </c>
      <c r="N61" s="208"/>
      <c r="O61" s="209"/>
      <c r="P61" s="210"/>
      <c r="Q61" s="113">
        <v>5</v>
      </c>
      <c r="R61" s="114"/>
      <c r="S61" s="115" t="str">
        <f t="shared" si="71"/>
        <v/>
      </c>
      <c r="T61" s="116"/>
      <c r="U61" s="116"/>
      <c r="V61" s="117" t="str">
        <f t="shared" si="68"/>
        <v/>
      </c>
      <c r="W61" s="116"/>
      <c r="X61" s="116"/>
      <c r="Y61" s="116"/>
      <c r="Z61" s="118" t="str">
        <f t="shared" si="72"/>
        <v/>
      </c>
      <c r="AA61" s="119" t="str">
        <f t="shared" si="0"/>
        <v/>
      </c>
      <c r="AB61" s="117" t="str">
        <f t="shared" si="69"/>
        <v/>
      </c>
      <c r="AC61" s="119" t="str">
        <f t="shared" si="2"/>
        <v/>
      </c>
      <c r="AD61" s="117" t="str">
        <f t="shared" si="73"/>
        <v/>
      </c>
      <c r="AE61" s="120" t="str">
        <f t="shared" ref="AE61:AE62" si="74">IFERROR(IF(OR(AND(AA61="Muy Baja",AC61="Leve"),AND(AA61="Muy Baja",AC61="Menor"),AND(AA61="Baja",AC61="Leve")),"Bajo",IF(OR(AND(AA61="Muy baja",AC61="Moderado"),AND(AA61="Baja",AC61="Menor"),AND(AA61="Baja",AC61="Moderado"),AND(AA61="Media",AC61="Leve"),AND(AA61="Media",AC61="Menor"),AND(AA61="Media",AC61="Moderado"),AND(AA61="Alta",AC61="Leve"),AND(AA61="Alta",AC61="Menor")),"Moderado",IF(OR(AND(AA61="Muy Baja",AC61="Mayor"),AND(AA61="Baja",AC61="Mayor"),AND(AA61="Media",AC61="Mayor"),AND(AA61="Alta",AC61="Moderado"),AND(AA61="Alta",AC61="Mayor"),AND(AA61="Muy Alta",AC61="Leve"),AND(AA61="Muy Alta",AC61="Menor"),AND(AA61="Muy Alta",AC61="Moderado"),AND(AA61="Muy Alta",AC61="Mayor")),"Alto",IF(OR(AND(AA61="Muy Baja",AC61="Catastrófico"),AND(AA61="Baja",AC61="Catastrófico"),AND(AA61="Media",AC61="Catastrófico"),AND(AA61="Alta",AC61="Catastrófico"),AND(AA61="Muy Alta",AC61="Catastrófico")),"Extremo","")))),"")</f>
        <v/>
      </c>
      <c r="AF61" s="116"/>
      <c r="AG61" s="121"/>
      <c r="AH61" s="122"/>
      <c r="AI61" s="123"/>
      <c r="AJ61" s="123"/>
      <c r="AK61" s="121"/>
      <c r="AL61" s="122"/>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row>
    <row r="62" spans="1:70" x14ac:dyDescent="0.3">
      <c r="A62" s="216"/>
      <c r="B62" s="139"/>
      <c r="C62" s="139"/>
      <c r="D62" s="217"/>
      <c r="E62" s="212"/>
      <c r="F62" s="141"/>
      <c r="G62" s="217"/>
      <c r="H62" s="140"/>
      <c r="I62" s="218"/>
      <c r="J62" s="208"/>
      <c r="K62" s="209"/>
      <c r="L62" s="211"/>
      <c r="M62" s="209">
        <f ca="1">IF(NOT(ISERROR(MATCH(L62,_xlfn.ANCHORARRAY(E74),0))),K76&amp;"Por favor no seleccionar los criterios de impacto",L62)</f>
        <v>0</v>
      </c>
      <c r="N62" s="208"/>
      <c r="O62" s="209"/>
      <c r="P62" s="210"/>
      <c r="Q62" s="113">
        <v>6</v>
      </c>
      <c r="R62" s="114"/>
      <c r="S62" s="115" t="str">
        <f t="shared" si="71"/>
        <v/>
      </c>
      <c r="T62" s="116"/>
      <c r="U62" s="116"/>
      <c r="V62" s="117" t="str">
        <f t="shared" si="68"/>
        <v/>
      </c>
      <c r="W62" s="116"/>
      <c r="X62" s="116"/>
      <c r="Y62" s="116"/>
      <c r="Z62" s="118" t="str">
        <f t="shared" si="72"/>
        <v/>
      </c>
      <c r="AA62" s="119" t="str">
        <f t="shared" si="0"/>
        <v/>
      </c>
      <c r="AB62" s="117" t="str">
        <f t="shared" si="69"/>
        <v/>
      </c>
      <c r="AC62" s="119" t="str">
        <f t="shared" si="2"/>
        <v/>
      </c>
      <c r="AD62" s="117" t="str">
        <f t="shared" si="73"/>
        <v/>
      </c>
      <c r="AE62" s="120" t="str">
        <f t="shared" si="74"/>
        <v/>
      </c>
      <c r="AF62" s="116"/>
      <c r="AG62" s="121"/>
      <c r="AH62" s="122"/>
      <c r="AI62" s="123"/>
      <c r="AJ62" s="123"/>
      <c r="AK62" s="121"/>
      <c r="AL62" s="122"/>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row>
    <row r="63" spans="1:70" x14ac:dyDescent="0.3">
      <c r="A63" s="216">
        <v>10</v>
      </c>
      <c r="B63" s="139"/>
      <c r="C63" s="139"/>
      <c r="D63" s="217"/>
      <c r="E63" s="212"/>
      <c r="F63" s="141"/>
      <c r="G63" s="217"/>
      <c r="H63" s="140"/>
      <c r="I63" s="218"/>
      <c r="J63" s="208" t="str">
        <f>IF(I63&lt;=0,"",IF(I63&lt;=2,"Muy Baja",IF(I63&lt;=24,"Baja",IF(I63&lt;=500,"Media",IF(I63&lt;=5000,"Alta","Muy Alta")))))</f>
        <v/>
      </c>
      <c r="K63" s="209" t="str">
        <f>IF(J63="","",IF(J63="Muy Baja",0.2,IF(J63="Baja",0.4,IF(J63="Media",0.6,IF(J63="Alta",0.8,IF(J63="Muy Alta",1,))))))</f>
        <v/>
      </c>
      <c r="L63" s="211"/>
      <c r="M63" s="209">
        <f>IF(NOT(ISERROR(MATCH(L63,'Tabla Impacto'!$B$221:$B$223,0))),'Tabla Impacto'!$F$223&amp;"Por favor no seleccionar los criterios de impacto(Afectación Económica o presupuestal y Pérdida Reputacional)",L63)</f>
        <v>0</v>
      </c>
      <c r="N63" s="208" t="str">
        <f>IF(OR(M63='Tabla Impacto'!$C$11,M63='Tabla Impacto'!$D$11),"Leve",IF(OR(M63='Tabla Impacto'!$C$12,M63='Tabla Impacto'!$D$12),"Menor",IF(OR(M63='Tabla Impacto'!$C$13,M63='Tabla Impacto'!$D$13),"Moderado",IF(OR(M63='Tabla Impacto'!$C$14,M63='Tabla Impacto'!$D$14),"Mayor",IF(OR(M63='Tabla Impacto'!$C$15,M63='Tabla Impacto'!$D$15),"Catastrófico","")))))</f>
        <v/>
      </c>
      <c r="O63" s="209" t="str">
        <f>IF(N63="","",IF(N63="Leve",0.2,IF(N63="Menor",0.4,IF(N63="Moderado",0.6,IF(N63="Mayor",0.8,IF(N63="Catastrófico",1,))))))</f>
        <v/>
      </c>
      <c r="P63" s="210" t="str">
        <f>IF(OR(AND(J63="Muy Baja",N63="Leve"),AND(J63="Muy Baja",N63="Menor"),AND(J63="Baja",N63="Leve")),"Bajo",IF(OR(AND(J63="Muy baja",N63="Moderado"),AND(J63="Baja",N63="Menor"),AND(J63="Baja",N63="Moderado"),AND(J63="Media",N63="Leve"),AND(J63="Media",N63="Menor"),AND(J63="Media",N63="Moderado"),AND(J63="Alta",N63="Leve"),AND(J63="Alta",N63="Menor")),"Moderado",IF(OR(AND(J63="Muy Baja",N63="Mayor"),AND(J63="Baja",N63="Mayor"),AND(J63="Media",N63="Mayor"),AND(J63="Alta",N63="Moderado"),AND(J63="Alta",N63="Mayor"),AND(J63="Muy Alta",N63="Leve"),AND(J63="Muy Alta",N63="Menor"),AND(J63="Muy Alta",N63="Moderado"),AND(J63="Muy Alta",N63="Mayor")),"Alto",IF(OR(AND(J63="Muy Baja",N63="Catastrófico"),AND(J63="Baja",N63="Catastrófico"),AND(J63="Media",N63="Catastrófico"),AND(J63="Alta",N63="Catastrófico"),AND(J63="Muy Alta",N63="Catastrófico")),"Extremo",""))))</f>
        <v/>
      </c>
      <c r="Q63" s="113">
        <v>1</v>
      </c>
      <c r="R63" s="114"/>
      <c r="S63" s="115" t="str">
        <f>IF(OR(T63="Preventivo",T63="Detectivo"),"Probabilidad",IF(T63="Correctivo","Impacto",""))</f>
        <v/>
      </c>
      <c r="T63" s="116"/>
      <c r="U63" s="116"/>
      <c r="V63" s="117" t="str">
        <f>IF(AND(T63="Preventivo",U63="Automático"),"50%",IF(AND(T63="Preventivo",U63="Manual"),"40%",IF(AND(T63="Detectivo",U63="Automático"),"40%",IF(AND(T63="Detectivo",U63="Manual"),"30%",IF(AND(T63="Correctivo",U63="Automático"),"35%",IF(AND(T63="Correctivo",U63="Manual"),"25%",""))))))</f>
        <v/>
      </c>
      <c r="W63" s="116"/>
      <c r="X63" s="116"/>
      <c r="Y63" s="116"/>
      <c r="Z63" s="118" t="str">
        <f>IFERROR(IF(S63="Probabilidad",(K63-(+K63*V63)),IF(S63="Impacto",K63,"")),"")</f>
        <v/>
      </c>
      <c r="AA63" s="119" t="str">
        <f>IFERROR(IF(Z63="","",IF(Z63&lt;=0.2,"Muy Baja",IF(Z63&lt;=0.4,"Baja",IF(Z63&lt;=0.6,"Media",IF(Z63&lt;=0.8,"Alta","Muy Alta"))))),"")</f>
        <v/>
      </c>
      <c r="AB63" s="117" t="str">
        <f>+Z63</f>
        <v/>
      </c>
      <c r="AC63" s="119" t="str">
        <f>IFERROR(IF(AD63="","",IF(AD63&lt;=0.2,"Leve",IF(AD63&lt;=0.4,"Menor",IF(AD63&lt;=0.6,"Moderado",IF(AD63&lt;=0.8,"Mayor","Catastrófico"))))),"")</f>
        <v/>
      </c>
      <c r="AD63" s="117" t="str">
        <f>IFERROR(IF(S63="Impacto",(O63-(+O63*V63)),IF(S63="Probabilidad",O63,"")),"")</f>
        <v/>
      </c>
      <c r="AE63" s="120" t="str">
        <f>IFERROR(IF(OR(AND(AA63="Muy Baja",AC63="Leve"),AND(AA63="Muy Baja",AC63="Menor"),AND(AA63="Baja",AC63="Leve")),"Bajo",IF(OR(AND(AA63="Muy baja",AC63="Moderado"),AND(AA63="Baja",AC63="Menor"),AND(AA63="Baja",AC63="Moderado"),AND(AA63="Media",AC63="Leve"),AND(AA63="Media",AC63="Menor"),AND(AA63="Media",AC63="Moderado"),AND(AA63="Alta",AC63="Leve"),AND(AA63="Alta",AC63="Menor")),"Moderado",IF(OR(AND(AA63="Muy Baja",AC63="Mayor"),AND(AA63="Baja",AC63="Mayor"),AND(AA63="Media",AC63="Mayor"),AND(AA63="Alta",AC63="Moderado"),AND(AA63="Alta",AC63="Mayor"),AND(AA63="Muy Alta",AC63="Leve"),AND(AA63="Muy Alta",AC63="Menor"),AND(AA63="Muy Alta",AC63="Moderado"),AND(AA63="Muy Alta",AC63="Mayor")),"Alto",IF(OR(AND(AA63="Muy Baja",AC63="Catastrófico"),AND(AA63="Baja",AC63="Catastrófico"),AND(AA63="Media",AC63="Catastrófico"),AND(AA63="Alta",AC63="Catastrófico"),AND(AA63="Muy Alta",AC63="Catastrófico")),"Extremo","")))),"")</f>
        <v/>
      </c>
      <c r="AF63" s="116"/>
      <c r="AG63" s="121"/>
      <c r="AH63" s="122"/>
      <c r="AI63" s="123"/>
      <c r="AJ63" s="123"/>
      <c r="AK63" s="121"/>
      <c r="AL63" s="122"/>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row>
    <row r="64" spans="1:70" x14ac:dyDescent="0.3">
      <c r="A64" s="216"/>
      <c r="B64" s="139"/>
      <c r="C64" s="139"/>
      <c r="D64" s="217"/>
      <c r="E64" s="212"/>
      <c r="F64" s="141"/>
      <c r="G64" s="217"/>
      <c r="H64" s="140"/>
      <c r="I64" s="218"/>
      <c r="J64" s="208"/>
      <c r="K64" s="209"/>
      <c r="L64" s="211"/>
      <c r="M64" s="209">
        <f ca="1">IF(NOT(ISERROR(MATCH(L64,_xlfn.ANCHORARRAY(E76),0))),K78&amp;"Por favor no seleccionar los criterios de impacto",L64)</f>
        <v>0</v>
      </c>
      <c r="N64" s="208"/>
      <c r="O64" s="209"/>
      <c r="P64" s="210"/>
      <c r="Q64" s="113">
        <v>2</v>
      </c>
      <c r="R64" s="114"/>
      <c r="S64" s="115" t="str">
        <f>IF(OR(T64="Preventivo",T64="Detectivo"),"Probabilidad",IF(T64="Correctivo","Impacto",""))</f>
        <v/>
      </c>
      <c r="T64" s="116"/>
      <c r="U64" s="116"/>
      <c r="V64" s="117" t="str">
        <f t="shared" ref="V64:V68" si="75">IF(AND(T64="Preventivo",U64="Automático"),"50%",IF(AND(T64="Preventivo",U64="Manual"),"40%",IF(AND(T64="Detectivo",U64="Automático"),"40%",IF(AND(T64="Detectivo",U64="Manual"),"30%",IF(AND(T64="Correctivo",U64="Automático"),"35%",IF(AND(T64="Correctivo",U64="Manual"),"25%",""))))))</f>
        <v/>
      </c>
      <c r="W64" s="116"/>
      <c r="X64" s="116"/>
      <c r="Y64" s="116"/>
      <c r="Z64" s="118" t="str">
        <f>IFERROR(IF(AND(S63="Probabilidad",S64="Probabilidad"),(AB63-(+AB63*V64)),IF(S64="Probabilidad",(K63-(+K63*V64)),IF(S64="Impacto",AB63,""))),"")</f>
        <v/>
      </c>
      <c r="AA64" s="119" t="str">
        <f t="shared" si="0"/>
        <v/>
      </c>
      <c r="AB64" s="117" t="str">
        <f t="shared" ref="AB64:AB68" si="76">+Z64</f>
        <v/>
      </c>
      <c r="AC64" s="119" t="str">
        <f t="shared" si="2"/>
        <v/>
      </c>
      <c r="AD64" s="117" t="str">
        <f>IFERROR(IF(AND(S63="Impacto",S64="Impacto"),(AD57-(+AD57*V64)),IF(S64="Impacto",($O$63-(+$O$63*V64)),IF(S64="Probabilidad",AD57,""))),"")</f>
        <v/>
      </c>
      <c r="AE64" s="120" t="str">
        <f t="shared" ref="AE64:AE65" si="77">IFERROR(IF(OR(AND(AA64="Muy Baja",AC64="Leve"),AND(AA64="Muy Baja",AC64="Menor"),AND(AA64="Baja",AC64="Leve")),"Bajo",IF(OR(AND(AA64="Muy baja",AC64="Moderado"),AND(AA64="Baja",AC64="Menor"),AND(AA64="Baja",AC64="Moderado"),AND(AA64="Media",AC64="Leve"),AND(AA64="Media",AC64="Menor"),AND(AA64="Media",AC64="Moderado"),AND(AA64="Alta",AC64="Leve"),AND(AA64="Alta",AC64="Menor")),"Moderado",IF(OR(AND(AA64="Muy Baja",AC64="Mayor"),AND(AA64="Baja",AC64="Mayor"),AND(AA64="Media",AC64="Mayor"),AND(AA64="Alta",AC64="Moderado"),AND(AA64="Alta",AC64="Mayor"),AND(AA64="Muy Alta",AC64="Leve"),AND(AA64="Muy Alta",AC64="Menor"),AND(AA64="Muy Alta",AC64="Moderado"),AND(AA64="Muy Alta",AC64="Mayor")),"Alto",IF(OR(AND(AA64="Muy Baja",AC64="Catastrófico"),AND(AA64="Baja",AC64="Catastrófico"),AND(AA64="Media",AC64="Catastrófico"),AND(AA64="Alta",AC64="Catastrófico"),AND(AA64="Muy Alta",AC64="Catastrófico")),"Extremo","")))),"")</f>
        <v/>
      </c>
      <c r="AF64" s="116"/>
      <c r="AG64" s="121"/>
      <c r="AH64" s="122"/>
      <c r="AI64" s="123"/>
      <c r="AJ64" s="123"/>
      <c r="AK64" s="121"/>
      <c r="AL64" s="122"/>
    </row>
    <row r="65" spans="1:38" x14ac:dyDescent="0.3">
      <c r="A65" s="216"/>
      <c r="B65" s="139"/>
      <c r="C65" s="139"/>
      <c r="D65" s="217"/>
      <c r="E65" s="212"/>
      <c r="F65" s="141"/>
      <c r="G65" s="217"/>
      <c r="H65" s="140"/>
      <c r="I65" s="218"/>
      <c r="J65" s="208"/>
      <c r="K65" s="209"/>
      <c r="L65" s="211"/>
      <c r="M65" s="209">
        <f ca="1">IF(NOT(ISERROR(MATCH(L65,_xlfn.ANCHORARRAY(E77),0))),K79&amp;"Por favor no seleccionar los criterios de impacto",L65)</f>
        <v>0</v>
      </c>
      <c r="N65" s="208"/>
      <c r="O65" s="209"/>
      <c r="P65" s="210"/>
      <c r="Q65" s="113">
        <v>3</v>
      </c>
      <c r="R65" s="126"/>
      <c r="S65" s="115" t="str">
        <f>IF(OR(T65="Preventivo",T65="Detectivo"),"Probabilidad",IF(T65="Correctivo","Impacto",""))</f>
        <v/>
      </c>
      <c r="T65" s="116"/>
      <c r="U65" s="116"/>
      <c r="V65" s="117" t="str">
        <f t="shared" si="75"/>
        <v/>
      </c>
      <c r="W65" s="116"/>
      <c r="X65" s="116"/>
      <c r="Y65" s="116"/>
      <c r="Z65" s="118" t="str">
        <f>IFERROR(IF(AND(S64="Probabilidad",S65="Probabilidad"),(AB64-(+AB64*V65)),IF(AND(S64="Impacto",S65="Probabilidad"),(AB63-(+AB63*V65)),IF(S65="Impacto",AB64,""))),"")</f>
        <v/>
      </c>
      <c r="AA65" s="119" t="str">
        <f t="shared" si="0"/>
        <v/>
      </c>
      <c r="AB65" s="117" t="str">
        <f t="shared" si="76"/>
        <v/>
      </c>
      <c r="AC65" s="119" t="str">
        <f t="shared" si="2"/>
        <v/>
      </c>
      <c r="AD65" s="117" t="str">
        <f>IFERROR(IF(AND(S64="Impacto",S65="Impacto"),(AD64-(+AD64*V65)),IF(AND(S64="Probabilidad",S65="Impacto"),(AD63-(+AD63*V65)),IF(S65="Probabilidad",AD64,""))),"")</f>
        <v/>
      </c>
      <c r="AE65" s="120" t="str">
        <f t="shared" si="77"/>
        <v/>
      </c>
      <c r="AF65" s="116"/>
      <c r="AG65" s="121"/>
      <c r="AH65" s="122"/>
      <c r="AI65" s="123"/>
      <c r="AJ65" s="123"/>
      <c r="AK65" s="121"/>
      <c r="AL65" s="122"/>
    </row>
    <row r="66" spans="1:38" x14ac:dyDescent="0.3">
      <c r="A66" s="216"/>
      <c r="B66" s="139"/>
      <c r="C66" s="139"/>
      <c r="D66" s="217"/>
      <c r="E66" s="212"/>
      <c r="F66" s="141"/>
      <c r="G66" s="217"/>
      <c r="H66" s="140"/>
      <c r="I66" s="218"/>
      <c r="J66" s="208"/>
      <c r="K66" s="209"/>
      <c r="L66" s="211"/>
      <c r="M66" s="209">
        <f ca="1">IF(NOT(ISERROR(MATCH(L66,_xlfn.ANCHORARRAY(E78),0))),K80&amp;"Por favor no seleccionar los criterios de impacto",L66)</f>
        <v>0</v>
      </c>
      <c r="N66" s="208"/>
      <c r="O66" s="209"/>
      <c r="P66" s="210"/>
      <c r="Q66" s="113">
        <v>4</v>
      </c>
      <c r="R66" s="114"/>
      <c r="S66" s="115" t="str">
        <f t="shared" ref="S66:S68" si="78">IF(OR(T66="Preventivo",T66="Detectivo"),"Probabilidad",IF(T66="Correctivo","Impacto",""))</f>
        <v/>
      </c>
      <c r="T66" s="116"/>
      <c r="U66" s="116"/>
      <c r="V66" s="117" t="str">
        <f t="shared" si="75"/>
        <v/>
      </c>
      <c r="W66" s="116"/>
      <c r="X66" s="116"/>
      <c r="Y66" s="116"/>
      <c r="Z66" s="118" t="str">
        <f t="shared" ref="Z66:Z68" si="79">IFERROR(IF(AND(S65="Probabilidad",S66="Probabilidad"),(AB65-(+AB65*V66)),IF(AND(S65="Impacto",S66="Probabilidad"),(AB64-(+AB64*V66)),IF(S66="Impacto",AB65,""))),"")</f>
        <v/>
      </c>
      <c r="AA66" s="119" t="str">
        <f t="shared" si="0"/>
        <v/>
      </c>
      <c r="AB66" s="117" t="str">
        <f t="shared" si="76"/>
        <v/>
      </c>
      <c r="AC66" s="119" t="str">
        <f t="shared" si="2"/>
        <v/>
      </c>
      <c r="AD66" s="117" t="str">
        <f t="shared" ref="AD66:AD68" si="80">IFERROR(IF(AND(S65="Impacto",S66="Impacto"),(AD65-(+AD65*V66)),IF(AND(S65="Probabilidad",S66="Impacto"),(AD64-(+AD64*V66)),IF(S66="Probabilidad",AD65,""))),"")</f>
        <v/>
      </c>
      <c r="AE66" s="120" t="str">
        <f>IFERROR(IF(OR(AND(AA66="Muy Baja",AC66="Leve"),AND(AA66="Muy Baja",AC66="Menor"),AND(AA66="Baja",AC66="Leve")),"Bajo",IF(OR(AND(AA66="Muy baja",AC66="Moderado"),AND(AA66="Baja",AC66="Menor"),AND(AA66="Baja",AC66="Moderado"),AND(AA66="Media",AC66="Leve"),AND(AA66="Media",AC66="Menor"),AND(AA66="Media",AC66="Moderado"),AND(AA66="Alta",AC66="Leve"),AND(AA66="Alta",AC66="Menor")),"Moderado",IF(OR(AND(AA66="Muy Baja",AC66="Mayor"),AND(AA66="Baja",AC66="Mayor"),AND(AA66="Media",AC66="Mayor"),AND(AA66="Alta",AC66="Moderado"),AND(AA66="Alta",AC66="Mayor"),AND(AA66="Muy Alta",AC66="Leve"),AND(AA66="Muy Alta",AC66="Menor"),AND(AA66="Muy Alta",AC66="Moderado"),AND(AA66="Muy Alta",AC66="Mayor")),"Alto",IF(OR(AND(AA66="Muy Baja",AC66="Catastrófico"),AND(AA66="Baja",AC66="Catastrófico"),AND(AA66="Media",AC66="Catastrófico"),AND(AA66="Alta",AC66="Catastrófico"),AND(AA66="Muy Alta",AC66="Catastrófico")),"Extremo","")))),"")</f>
        <v/>
      </c>
      <c r="AF66" s="116"/>
      <c r="AG66" s="121"/>
      <c r="AH66" s="122"/>
      <c r="AI66" s="123"/>
      <c r="AJ66" s="123"/>
      <c r="AK66" s="121"/>
      <c r="AL66" s="122"/>
    </row>
    <row r="67" spans="1:38" x14ac:dyDescent="0.3">
      <c r="A67" s="216"/>
      <c r="B67" s="139"/>
      <c r="C67" s="139"/>
      <c r="D67" s="217"/>
      <c r="E67" s="212"/>
      <c r="F67" s="141"/>
      <c r="G67" s="217"/>
      <c r="H67" s="140"/>
      <c r="I67" s="218"/>
      <c r="J67" s="208"/>
      <c r="K67" s="209"/>
      <c r="L67" s="211"/>
      <c r="M67" s="209">
        <f ca="1">IF(NOT(ISERROR(MATCH(L67,_xlfn.ANCHORARRAY(E79),0))),K81&amp;"Por favor no seleccionar los criterios de impacto",L67)</f>
        <v>0</v>
      </c>
      <c r="N67" s="208"/>
      <c r="O67" s="209"/>
      <c r="P67" s="210"/>
      <c r="Q67" s="113">
        <v>5</v>
      </c>
      <c r="R67" s="114"/>
      <c r="S67" s="115" t="str">
        <f t="shared" si="78"/>
        <v/>
      </c>
      <c r="T67" s="116"/>
      <c r="U67" s="116"/>
      <c r="V67" s="117" t="str">
        <f t="shared" si="75"/>
        <v/>
      </c>
      <c r="W67" s="116"/>
      <c r="X67" s="116"/>
      <c r="Y67" s="116"/>
      <c r="Z67" s="118" t="str">
        <f t="shared" si="79"/>
        <v/>
      </c>
      <c r="AA67" s="119" t="str">
        <f t="shared" si="0"/>
        <v/>
      </c>
      <c r="AB67" s="117" t="str">
        <f t="shared" si="76"/>
        <v/>
      </c>
      <c r="AC67" s="119" t="str">
        <f t="shared" si="2"/>
        <v/>
      </c>
      <c r="AD67" s="117" t="str">
        <f t="shared" si="80"/>
        <v/>
      </c>
      <c r="AE67" s="120" t="str">
        <f t="shared" ref="AE67:AE68" si="81">IFERROR(IF(OR(AND(AA67="Muy Baja",AC67="Leve"),AND(AA67="Muy Baja",AC67="Menor"),AND(AA67="Baja",AC67="Leve")),"Bajo",IF(OR(AND(AA67="Muy baja",AC67="Moderado"),AND(AA67="Baja",AC67="Menor"),AND(AA67="Baja",AC67="Moderado"),AND(AA67="Media",AC67="Leve"),AND(AA67="Media",AC67="Menor"),AND(AA67="Media",AC67="Moderado"),AND(AA67="Alta",AC67="Leve"),AND(AA67="Alta",AC67="Menor")),"Moderado",IF(OR(AND(AA67="Muy Baja",AC67="Mayor"),AND(AA67="Baja",AC67="Mayor"),AND(AA67="Media",AC67="Mayor"),AND(AA67="Alta",AC67="Moderado"),AND(AA67="Alta",AC67="Mayor"),AND(AA67="Muy Alta",AC67="Leve"),AND(AA67="Muy Alta",AC67="Menor"),AND(AA67="Muy Alta",AC67="Moderado"),AND(AA67="Muy Alta",AC67="Mayor")),"Alto",IF(OR(AND(AA67="Muy Baja",AC67="Catastrófico"),AND(AA67="Baja",AC67="Catastrófico"),AND(AA67="Media",AC67="Catastrófico"),AND(AA67="Alta",AC67="Catastrófico"),AND(AA67="Muy Alta",AC67="Catastrófico")),"Extremo","")))),"")</f>
        <v/>
      </c>
      <c r="AF67" s="116"/>
      <c r="AG67" s="121"/>
      <c r="AH67" s="122"/>
      <c r="AI67" s="123"/>
      <c r="AJ67" s="123"/>
      <c r="AK67" s="121"/>
      <c r="AL67" s="122"/>
    </row>
    <row r="68" spans="1:38" x14ac:dyDescent="0.3">
      <c r="A68" s="216"/>
      <c r="B68" s="139"/>
      <c r="C68" s="139"/>
      <c r="D68" s="217"/>
      <c r="E68" s="212"/>
      <c r="F68" s="141"/>
      <c r="G68" s="217"/>
      <c r="H68" s="140"/>
      <c r="I68" s="218"/>
      <c r="J68" s="208"/>
      <c r="K68" s="209"/>
      <c r="L68" s="211"/>
      <c r="M68" s="209">
        <f ca="1">IF(NOT(ISERROR(MATCH(L68,_xlfn.ANCHORARRAY(E80),0))),K82&amp;"Por favor no seleccionar los criterios de impacto",L68)</f>
        <v>0</v>
      </c>
      <c r="N68" s="208"/>
      <c r="O68" s="209"/>
      <c r="P68" s="210"/>
      <c r="Q68" s="113">
        <v>6</v>
      </c>
      <c r="R68" s="114"/>
      <c r="S68" s="115" t="str">
        <f t="shared" si="78"/>
        <v/>
      </c>
      <c r="T68" s="116"/>
      <c r="U68" s="116"/>
      <c r="V68" s="117" t="str">
        <f t="shared" si="75"/>
        <v/>
      </c>
      <c r="W68" s="116"/>
      <c r="X68" s="116"/>
      <c r="Y68" s="116"/>
      <c r="Z68" s="118" t="str">
        <f t="shared" si="79"/>
        <v/>
      </c>
      <c r="AA68" s="119" t="str">
        <f t="shared" si="0"/>
        <v/>
      </c>
      <c r="AB68" s="117" t="str">
        <f t="shared" si="76"/>
        <v/>
      </c>
      <c r="AC68" s="119" t="str">
        <f t="shared" si="2"/>
        <v/>
      </c>
      <c r="AD68" s="117" t="str">
        <f t="shared" si="80"/>
        <v/>
      </c>
      <c r="AE68" s="120" t="str">
        <f t="shared" si="81"/>
        <v/>
      </c>
      <c r="AF68" s="116"/>
      <c r="AG68" s="121"/>
      <c r="AH68" s="122"/>
      <c r="AI68" s="123"/>
      <c r="AJ68" s="123"/>
      <c r="AK68" s="121"/>
      <c r="AL68" s="122"/>
    </row>
    <row r="69" spans="1:38" x14ac:dyDescent="0.3">
      <c r="A69" s="216">
        <v>1</v>
      </c>
      <c r="B69" s="139"/>
      <c r="C69" s="139"/>
      <c r="D69" s="217"/>
      <c r="E69" s="212"/>
      <c r="F69" s="141"/>
      <c r="G69" s="217"/>
      <c r="H69" s="140"/>
      <c r="I69" s="218"/>
      <c r="J69" s="208" t="str">
        <f>IF(I69&lt;=0,"",IF(I69&lt;=2,"Muy Baja",IF(I69&lt;=24,"Baja",IF(I69&lt;=500,"Media",IF(I69&lt;=5000,"Alta","Muy Alta")))))</f>
        <v/>
      </c>
      <c r="K69" s="209" t="str">
        <f>IF(J69="","",IF(J69="Muy Baja",0.2,IF(J69="Baja",0.4,IF(J69="Media",0.6,IF(J69="Alta",0.8,IF(J69="Muy Alta",1,))))))</f>
        <v/>
      </c>
      <c r="L69" s="211"/>
      <c r="M69" s="209">
        <f>IF(NOT(ISERROR(MATCH(L69,'Tabla Impacto'!$B$221:$B$223,0))),'Tabla Impacto'!$F$223&amp;"Por favor no seleccionar los criterios de impacto(Afectación Económica o presupuestal y Pérdida Reputacional)",L69)</f>
        <v>0</v>
      </c>
      <c r="N69" s="208" t="str">
        <f>IF(OR(M69='Tabla Impacto'!$C$11,M69='Tabla Impacto'!$D$11),"Leve",IF(OR(M69='Tabla Impacto'!$C$12,M69='Tabla Impacto'!$D$12),"Menor",IF(OR(M69='Tabla Impacto'!$C$13,M69='Tabla Impacto'!$D$13),"Moderado",IF(OR(M69='Tabla Impacto'!$C$14,M69='Tabla Impacto'!$D$14),"Mayor",IF(OR(M69='Tabla Impacto'!$C$15,M69='Tabla Impacto'!$D$15),"Catastrófico","")))))</f>
        <v/>
      </c>
      <c r="O69" s="209" t="str">
        <f>IF(N69="","",IF(N69="Leve",0.2,IF(N69="Menor",0.4,IF(N69="Moderado",0.6,IF(N69="Mayor",0.8,IF(N69="Catastrófico",1,))))))</f>
        <v/>
      </c>
      <c r="P69" s="210" t="str">
        <f>IF(OR(AND(J69="Muy Baja",N69="Leve"),AND(J69="Muy Baja",N69="Menor"),AND(J69="Baja",N69="Leve")),"Bajo",IF(OR(AND(J69="Muy baja",N69="Moderado"),AND(J69="Baja",N69="Menor"),AND(J69="Baja",N69="Moderado"),AND(J69="Media",N69="Leve"),AND(J69="Media",N69="Menor"),AND(J69="Media",N69="Moderado"),AND(J69="Alta",N69="Leve"),AND(J69="Alta",N69="Menor")),"Moderado",IF(OR(AND(J69="Muy Baja",N69="Mayor"),AND(J69="Baja",N69="Mayor"),AND(J69="Media",N69="Mayor"),AND(J69="Alta",N69="Moderado"),AND(J69="Alta",N69="Mayor"),AND(J69="Muy Alta",N69="Leve"),AND(J69="Muy Alta",N69="Menor"),AND(J69="Muy Alta",N69="Moderado"),AND(J69="Muy Alta",N69="Mayor")),"Alto",IF(OR(AND(J69="Muy Baja",N69="Catastrófico"),AND(J69="Baja",N69="Catastrófico"),AND(J69="Media",N69="Catastrófico"),AND(J69="Alta",N69="Catastrófico"),AND(J69="Muy Alta",N69="Catastrófico")),"Extremo",""))))</f>
        <v/>
      </c>
      <c r="Q69" s="113">
        <v>1</v>
      </c>
      <c r="R69" s="114"/>
      <c r="S69" s="115" t="str">
        <f>IF(OR(T69="Preventivo",T69="Detectivo"),"Probabilidad",IF(T69="Correctivo","Impacto",""))</f>
        <v/>
      </c>
      <c r="T69" s="116"/>
      <c r="U69" s="116"/>
      <c r="V69" s="117" t="str">
        <f>IF(AND(T69="Preventivo",U69="Automático"),"50%",IF(AND(T69="Preventivo",U69="Manual"),"40%",IF(AND(T69="Detectivo",U69="Automático"),"40%",IF(AND(T69="Detectivo",U69="Manual"),"30%",IF(AND(T69="Correctivo",U69="Automático"),"35%",IF(AND(T69="Correctivo",U69="Manual"),"25%",""))))))</f>
        <v/>
      </c>
      <c r="W69" s="116"/>
      <c r="X69" s="116"/>
      <c r="Y69" s="116"/>
      <c r="Z69" s="118" t="str">
        <f>IFERROR(IF(S69="Probabilidad",(K69-(+K69*V69)),IF(S69="Impacto",K69,"")),"")</f>
        <v/>
      </c>
      <c r="AA69" s="119" t="str">
        <f>IFERROR(IF(Z69="","",IF(Z69&lt;=0.2,"Muy Baja",IF(Z69&lt;=0.4,"Baja",IF(Z69&lt;=0.6,"Media",IF(Z69&lt;=0.8,"Alta","Muy Alta"))))),"")</f>
        <v/>
      </c>
      <c r="AB69" s="117" t="str">
        <f>+Z69</f>
        <v/>
      </c>
      <c r="AC69" s="119" t="str">
        <f>IFERROR(IF(AD69="","",IF(AD69&lt;=0.2,"Leve",IF(AD69&lt;=0.4,"Menor",IF(AD69&lt;=0.6,"Moderado",IF(AD69&lt;=0.8,"Mayor","Catastrófico"))))),"")</f>
        <v/>
      </c>
      <c r="AD69" s="117" t="str">
        <f>IFERROR(IF(S69="Impacto",(O69-(+O69*V69)),IF(S69="Probabilidad",O69,"")),"")</f>
        <v/>
      </c>
      <c r="AE69" s="120" t="str">
        <f>IFERROR(IF(OR(AND(AA69="Muy Baja",AC69="Leve"),AND(AA69="Muy Baja",AC69="Menor"),AND(AA69="Baja",AC69="Leve")),"Bajo",IF(OR(AND(AA69="Muy baja",AC69="Moderado"),AND(AA69="Baja",AC69="Menor"),AND(AA69="Baja",AC69="Moderado"),AND(AA69="Media",AC69="Leve"),AND(AA69="Media",AC69="Menor"),AND(AA69="Media",AC69="Moderado"),AND(AA69="Alta",AC69="Leve"),AND(AA69="Alta",AC69="Menor")),"Moderado",IF(OR(AND(AA69="Muy Baja",AC69="Mayor"),AND(AA69="Baja",AC69="Mayor"),AND(AA69="Media",AC69="Mayor"),AND(AA69="Alta",AC69="Moderado"),AND(AA69="Alta",AC69="Mayor"),AND(AA69="Muy Alta",AC69="Leve"),AND(AA69="Muy Alta",AC69="Menor"),AND(AA69="Muy Alta",AC69="Moderado"),AND(AA69="Muy Alta",AC69="Mayor")),"Alto",IF(OR(AND(AA69="Muy Baja",AC69="Catastrófico"),AND(AA69="Baja",AC69="Catastrófico"),AND(AA69="Media",AC69="Catastrófico"),AND(AA69="Alta",AC69="Catastrófico"),AND(AA69="Muy Alta",AC69="Catastrófico")),"Extremo","")))),"")</f>
        <v/>
      </c>
      <c r="AF69" s="116"/>
      <c r="AG69" s="121"/>
      <c r="AH69" s="122"/>
      <c r="AI69" s="123"/>
      <c r="AJ69" s="123"/>
      <c r="AK69" s="121"/>
      <c r="AL69" s="122"/>
    </row>
    <row r="70" spans="1:38" ht="49.5" customHeight="1" x14ac:dyDescent="0.3">
      <c r="A70" s="216"/>
      <c r="B70" s="139"/>
      <c r="C70" s="139"/>
      <c r="D70" s="217"/>
      <c r="E70" s="212"/>
      <c r="F70" s="141"/>
      <c r="G70" s="217"/>
      <c r="H70" s="140"/>
      <c r="I70" s="218"/>
      <c r="J70" s="208"/>
      <c r="K70" s="209"/>
      <c r="L70" s="211"/>
      <c r="M70" s="209">
        <f ca="1">IF(NOT(ISERROR(MATCH(L70,_xlfn.ANCHORARRAY(E81),0))),K83&amp;"Por favor no seleccionar los criterios de impacto",L70)</f>
        <v>0</v>
      </c>
      <c r="N70" s="208"/>
      <c r="O70" s="209"/>
      <c r="P70" s="210"/>
      <c r="Q70" s="113">
        <v>2</v>
      </c>
      <c r="R70" s="114"/>
      <c r="S70" s="115" t="str">
        <f>IF(OR(T70="Preventivo",T70="Detectivo"),"Probabilidad",IF(T70="Correctivo","Impacto",""))</f>
        <v/>
      </c>
      <c r="T70" s="116"/>
      <c r="U70" s="116"/>
      <c r="V70" s="117" t="str">
        <f t="shared" ref="V70:V74" si="82">IF(AND(T70="Preventivo",U70="Automático"),"50%",IF(AND(T70="Preventivo",U70="Manual"),"40%",IF(AND(T70="Detectivo",U70="Automático"),"40%",IF(AND(T70="Detectivo",U70="Manual"),"30%",IF(AND(T70="Correctivo",U70="Automático"),"35%",IF(AND(T70="Correctivo",U70="Manual"),"25%",""))))))</f>
        <v/>
      </c>
      <c r="W70" s="116"/>
      <c r="X70" s="116"/>
      <c r="Y70" s="116"/>
      <c r="Z70" s="118" t="str">
        <f>IFERROR(IF(AND(S69="Probabilidad",S70="Probabilidad"),(AB69-(+AB69*V70)),IF(S70="Probabilidad",(K69-(+K69*V70)),IF(S70="Impacto",AB69,""))),"")</f>
        <v/>
      </c>
      <c r="AA70" s="119" t="str">
        <f t="shared" ref="AA70:AA74" si="83">IFERROR(IF(Z70="","",IF(Z70&lt;=0.2,"Muy Baja",IF(Z70&lt;=0.4,"Baja",IF(Z70&lt;=0.6,"Media",IF(Z70&lt;=0.8,"Alta","Muy Alta"))))),"")</f>
        <v/>
      </c>
      <c r="AB70" s="117" t="str">
        <f t="shared" ref="AB70:AB74" si="84">+Z70</f>
        <v/>
      </c>
      <c r="AC70" s="119" t="str">
        <f t="shared" ref="AC70:AC74" si="85">IFERROR(IF(AD70="","",IF(AD70&lt;=0.2,"Leve",IF(AD70&lt;=0.4,"Menor",IF(AD70&lt;=0.6,"Moderado",IF(AD70&lt;=0.8,"Mayor","Catastrófico"))))),"")</f>
        <v/>
      </c>
      <c r="AD70" s="117" t="str">
        <f>IFERROR(IF(AND(S69="Impacto",S70="Impacto"),(AD69-(+AD69*V70)),IF(S70="Impacto",($O$9-(+$O$9*V70)),IF(S70="Probabilidad",AD69,""))),"")</f>
        <v/>
      </c>
      <c r="AE70" s="120" t="str">
        <f t="shared" ref="AE70:AE71" si="86">IFERROR(IF(OR(AND(AA70="Muy Baja",AC70="Leve"),AND(AA70="Muy Baja",AC70="Menor"),AND(AA70="Baja",AC70="Leve")),"Bajo",IF(OR(AND(AA70="Muy baja",AC70="Moderado"),AND(AA70="Baja",AC70="Menor"),AND(AA70="Baja",AC70="Moderado"),AND(AA70="Media",AC70="Leve"),AND(AA70="Media",AC70="Menor"),AND(AA70="Media",AC70="Moderado"),AND(AA70="Alta",AC70="Leve"),AND(AA70="Alta",AC70="Menor")),"Moderado",IF(OR(AND(AA70="Muy Baja",AC70="Mayor"),AND(AA70="Baja",AC70="Mayor"),AND(AA70="Media",AC70="Mayor"),AND(AA70="Alta",AC70="Moderado"),AND(AA70="Alta",AC70="Mayor"),AND(AA70="Muy Alta",AC70="Leve"),AND(AA70="Muy Alta",AC70="Menor"),AND(AA70="Muy Alta",AC70="Moderado"),AND(AA70="Muy Alta",AC70="Mayor")),"Alto",IF(OR(AND(AA70="Muy Baja",AC70="Catastrófico"),AND(AA70="Baja",AC70="Catastrófico"),AND(AA70="Media",AC70="Catastrófico"),AND(AA70="Alta",AC70="Catastrófico"),AND(AA70="Muy Alta",AC70="Catastrófico")),"Extremo","")))),"")</f>
        <v/>
      </c>
      <c r="AF70" s="116"/>
      <c r="AG70" s="121"/>
      <c r="AH70" s="122"/>
      <c r="AI70" s="123"/>
      <c r="AJ70" s="123"/>
      <c r="AK70" s="121"/>
      <c r="AL70" s="122"/>
    </row>
    <row r="71" spans="1:38" x14ac:dyDescent="0.3">
      <c r="A71" s="216"/>
      <c r="B71" s="139"/>
      <c r="C71" s="139"/>
      <c r="D71" s="217"/>
      <c r="E71" s="212"/>
      <c r="F71" s="141"/>
      <c r="G71" s="217"/>
      <c r="H71" s="140"/>
      <c r="I71" s="218"/>
      <c r="J71" s="208"/>
      <c r="K71" s="209"/>
      <c r="L71" s="211"/>
      <c r="M71" s="209">
        <f ca="1">IF(NOT(ISERROR(MATCH(L71,_xlfn.ANCHORARRAY(E82),0))),K84&amp;"Por favor no seleccionar los criterios de impacto",L71)</f>
        <v>0</v>
      </c>
      <c r="N71" s="208"/>
      <c r="O71" s="209"/>
      <c r="P71" s="210"/>
      <c r="Q71" s="113">
        <v>3</v>
      </c>
      <c r="R71" s="126"/>
      <c r="S71" s="115" t="str">
        <f>IF(OR(T71="Preventivo",T71="Detectivo"),"Probabilidad",IF(T71="Correctivo","Impacto",""))</f>
        <v/>
      </c>
      <c r="T71" s="116"/>
      <c r="U71" s="116"/>
      <c r="V71" s="117" t="str">
        <f t="shared" si="82"/>
        <v/>
      </c>
      <c r="W71" s="116"/>
      <c r="X71" s="116"/>
      <c r="Y71" s="116"/>
      <c r="Z71" s="118" t="str">
        <f>IFERROR(IF(AND(S70="Probabilidad",S71="Probabilidad"),(AB70-(+AB70*V71)),IF(AND(S70="Impacto",S71="Probabilidad"),(AB69-(+AB69*V71)),IF(S71="Impacto",AB70,""))),"")</f>
        <v/>
      </c>
      <c r="AA71" s="119" t="str">
        <f t="shared" si="83"/>
        <v/>
      </c>
      <c r="AB71" s="117" t="str">
        <f t="shared" si="84"/>
        <v/>
      </c>
      <c r="AC71" s="119" t="str">
        <f t="shared" si="85"/>
        <v/>
      </c>
      <c r="AD71" s="117" t="str">
        <f>IFERROR(IF(AND(S70="Impacto",S71="Impacto"),(AD70-(+AD70*V71)),IF(AND(S70="Probabilidad",S71="Impacto"),(AD69-(+AD69*V71)),IF(S71="Probabilidad",AD70,""))),"")</f>
        <v/>
      </c>
      <c r="AE71" s="120" t="str">
        <f t="shared" si="86"/>
        <v/>
      </c>
      <c r="AF71" s="116"/>
      <c r="AG71" s="121"/>
      <c r="AH71" s="122"/>
      <c r="AI71" s="123"/>
      <c r="AJ71" s="123"/>
      <c r="AK71" s="121"/>
      <c r="AL71" s="122"/>
    </row>
    <row r="72" spans="1:38" x14ac:dyDescent="0.3">
      <c r="A72" s="216"/>
      <c r="B72" s="139"/>
      <c r="C72" s="139"/>
      <c r="D72" s="217"/>
      <c r="E72" s="212"/>
      <c r="F72" s="141"/>
      <c r="G72" s="217"/>
      <c r="H72" s="140"/>
      <c r="I72" s="218"/>
      <c r="J72" s="208"/>
      <c r="K72" s="209"/>
      <c r="L72" s="211"/>
      <c r="M72" s="209">
        <f ca="1">IF(NOT(ISERROR(MATCH(L72,_xlfn.ANCHORARRAY(E83),0))),K85&amp;"Por favor no seleccionar los criterios de impacto",L72)</f>
        <v>0</v>
      </c>
      <c r="N72" s="208"/>
      <c r="O72" s="209"/>
      <c r="P72" s="210"/>
      <c r="Q72" s="113">
        <v>4</v>
      </c>
      <c r="R72" s="114"/>
      <c r="S72" s="115" t="str">
        <f t="shared" ref="S72:S74" si="87">IF(OR(T72="Preventivo",T72="Detectivo"),"Probabilidad",IF(T72="Correctivo","Impacto",""))</f>
        <v/>
      </c>
      <c r="T72" s="116"/>
      <c r="U72" s="116"/>
      <c r="V72" s="117" t="str">
        <f t="shared" si="82"/>
        <v/>
      </c>
      <c r="W72" s="116"/>
      <c r="X72" s="116"/>
      <c r="Y72" s="116"/>
      <c r="Z72" s="118" t="str">
        <f t="shared" ref="Z72:Z74" si="88">IFERROR(IF(AND(S71="Probabilidad",S72="Probabilidad"),(AB71-(+AB71*V72)),IF(AND(S71="Impacto",S72="Probabilidad"),(AB70-(+AB70*V72)),IF(S72="Impacto",AB71,""))),"")</f>
        <v/>
      </c>
      <c r="AA72" s="119" t="str">
        <f t="shared" si="83"/>
        <v/>
      </c>
      <c r="AB72" s="117" t="str">
        <f t="shared" si="84"/>
        <v/>
      </c>
      <c r="AC72" s="119" t="str">
        <f t="shared" si="85"/>
        <v/>
      </c>
      <c r="AD72" s="117" t="str">
        <f t="shared" ref="AD72:AD74" si="89">IFERROR(IF(AND(S71="Impacto",S72="Impacto"),(AD71-(+AD71*V72)),IF(AND(S71="Probabilidad",S72="Impacto"),(AD70-(+AD70*V72)),IF(S72="Probabilidad",AD71,""))),"")</f>
        <v/>
      </c>
      <c r="AE72" s="120" t="str">
        <f>IFERROR(IF(OR(AND(AA72="Muy Baja",AC72="Leve"),AND(AA72="Muy Baja",AC72="Menor"),AND(AA72="Baja",AC72="Leve")),"Bajo",IF(OR(AND(AA72="Muy baja",AC72="Moderado"),AND(AA72="Baja",AC72="Menor"),AND(AA72="Baja",AC72="Moderado"),AND(AA72="Media",AC72="Leve"),AND(AA72="Media",AC72="Menor"),AND(AA72="Media",AC72="Moderado"),AND(AA72="Alta",AC72="Leve"),AND(AA72="Alta",AC72="Menor")),"Moderado",IF(OR(AND(AA72="Muy Baja",AC72="Mayor"),AND(AA72="Baja",AC72="Mayor"),AND(AA72="Media",AC72="Mayor"),AND(AA72="Alta",AC72="Moderado"),AND(AA72="Alta",AC72="Mayor"),AND(AA72="Muy Alta",AC72="Leve"),AND(AA72="Muy Alta",AC72="Menor"),AND(AA72="Muy Alta",AC72="Moderado"),AND(AA72="Muy Alta",AC72="Mayor")),"Alto",IF(OR(AND(AA72="Muy Baja",AC72="Catastrófico"),AND(AA72="Baja",AC72="Catastrófico"),AND(AA72="Media",AC72="Catastrófico"),AND(AA72="Alta",AC72="Catastrófico"),AND(AA72="Muy Alta",AC72="Catastrófico")),"Extremo","")))),"")</f>
        <v/>
      </c>
      <c r="AF72" s="116"/>
      <c r="AG72" s="121"/>
      <c r="AH72" s="122"/>
      <c r="AI72" s="123"/>
      <c r="AJ72" s="123"/>
      <c r="AK72" s="121"/>
      <c r="AL72" s="122"/>
    </row>
    <row r="73" spans="1:38" x14ac:dyDescent="0.3">
      <c r="A73" s="216"/>
      <c r="B73" s="139"/>
      <c r="C73" s="139"/>
      <c r="D73" s="217"/>
      <c r="E73" s="212"/>
      <c r="F73" s="141"/>
      <c r="G73" s="217"/>
      <c r="H73" s="140"/>
      <c r="I73" s="218"/>
      <c r="J73" s="208"/>
      <c r="K73" s="209"/>
      <c r="L73" s="211"/>
      <c r="M73" s="209">
        <f ca="1">IF(NOT(ISERROR(MATCH(L73,_xlfn.ANCHORARRAY(E84),0))),K86&amp;"Por favor no seleccionar los criterios de impacto",L73)</f>
        <v>0</v>
      </c>
      <c r="N73" s="208"/>
      <c r="O73" s="209"/>
      <c r="P73" s="210"/>
      <c r="Q73" s="113">
        <v>5</v>
      </c>
      <c r="R73" s="114"/>
      <c r="S73" s="115" t="str">
        <f t="shared" si="87"/>
        <v/>
      </c>
      <c r="T73" s="116"/>
      <c r="U73" s="116"/>
      <c r="V73" s="117" t="str">
        <f t="shared" si="82"/>
        <v/>
      </c>
      <c r="W73" s="116"/>
      <c r="X73" s="116"/>
      <c r="Y73" s="116"/>
      <c r="Z73" s="118" t="str">
        <f t="shared" si="88"/>
        <v/>
      </c>
      <c r="AA73" s="119" t="str">
        <f t="shared" si="83"/>
        <v/>
      </c>
      <c r="AB73" s="117" t="str">
        <f t="shared" si="84"/>
        <v/>
      </c>
      <c r="AC73" s="119" t="str">
        <f t="shared" si="85"/>
        <v/>
      </c>
      <c r="AD73" s="117" t="str">
        <f t="shared" si="89"/>
        <v/>
      </c>
      <c r="AE73" s="120" t="str">
        <f t="shared" ref="AE73:AE74" si="90">IFERROR(IF(OR(AND(AA73="Muy Baja",AC73="Leve"),AND(AA73="Muy Baja",AC73="Menor"),AND(AA73="Baja",AC73="Leve")),"Bajo",IF(OR(AND(AA73="Muy baja",AC73="Moderado"),AND(AA73="Baja",AC73="Menor"),AND(AA73="Baja",AC73="Moderado"),AND(AA73="Media",AC73="Leve"),AND(AA73="Media",AC73="Menor"),AND(AA73="Media",AC73="Moderado"),AND(AA73="Alta",AC73="Leve"),AND(AA73="Alta",AC73="Menor")),"Moderado",IF(OR(AND(AA73="Muy Baja",AC73="Mayor"),AND(AA73="Baja",AC73="Mayor"),AND(AA73="Media",AC73="Mayor"),AND(AA73="Alta",AC73="Moderado"),AND(AA73="Alta",AC73="Mayor"),AND(AA73="Muy Alta",AC73="Leve"),AND(AA73="Muy Alta",AC73="Menor"),AND(AA73="Muy Alta",AC73="Moderado"),AND(AA73="Muy Alta",AC73="Mayor")),"Alto",IF(OR(AND(AA73="Muy Baja",AC73="Catastrófico"),AND(AA73="Baja",AC73="Catastrófico"),AND(AA73="Media",AC73="Catastrófico"),AND(AA73="Alta",AC73="Catastrófico"),AND(AA73="Muy Alta",AC73="Catastrófico")),"Extremo","")))),"")</f>
        <v/>
      </c>
      <c r="AF73" s="116"/>
      <c r="AG73" s="121"/>
      <c r="AH73" s="122"/>
      <c r="AI73" s="123"/>
      <c r="AJ73" s="123"/>
      <c r="AK73" s="121"/>
      <c r="AL73" s="122"/>
    </row>
    <row r="74" spans="1:38" x14ac:dyDescent="0.3">
      <c r="A74" s="216"/>
      <c r="B74" s="139"/>
      <c r="C74" s="139"/>
      <c r="D74" s="217"/>
      <c r="E74" s="212"/>
      <c r="F74" s="141"/>
      <c r="G74" s="217"/>
      <c r="H74" s="140"/>
      <c r="I74" s="218"/>
      <c r="J74" s="208"/>
      <c r="K74" s="209"/>
      <c r="L74" s="211"/>
      <c r="M74" s="209">
        <f ca="1">IF(NOT(ISERROR(MATCH(L74,_xlfn.ANCHORARRAY(E85),0))),K87&amp;"Por favor no seleccionar los criterios de impacto",L74)</f>
        <v>0</v>
      </c>
      <c r="N74" s="208"/>
      <c r="O74" s="209"/>
      <c r="P74" s="210"/>
      <c r="Q74" s="113">
        <v>6</v>
      </c>
      <c r="R74" s="114"/>
      <c r="S74" s="115" t="str">
        <f t="shared" si="87"/>
        <v/>
      </c>
      <c r="T74" s="116"/>
      <c r="U74" s="116"/>
      <c r="V74" s="117" t="str">
        <f t="shared" si="82"/>
        <v/>
      </c>
      <c r="W74" s="116"/>
      <c r="X74" s="116"/>
      <c r="Y74" s="116"/>
      <c r="Z74" s="118" t="str">
        <f t="shared" si="88"/>
        <v/>
      </c>
      <c r="AA74" s="119" t="str">
        <f t="shared" si="83"/>
        <v/>
      </c>
      <c r="AB74" s="117" t="str">
        <f t="shared" si="84"/>
        <v/>
      </c>
      <c r="AC74" s="119" t="str">
        <f t="shared" si="85"/>
        <v/>
      </c>
      <c r="AD74" s="117" t="str">
        <f t="shared" si="89"/>
        <v/>
      </c>
      <c r="AE74" s="120" t="str">
        <f t="shared" si="90"/>
        <v/>
      </c>
      <c r="AF74" s="116"/>
      <c r="AG74" s="121"/>
      <c r="AH74" s="122"/>
      <c r="AI74" s="123"/>
      <c r="AJ74" s="123"/>
      <c r="AK74" s="121"/>
      <c r="AL74" s="122"/>
    </row>
    <row r="75" spans="1:38" x14ac:dyDescent="0.3">
      <c r="A75" s="216">
        <v>2</v>
      </c>
      <c r="B75" s="139"/>
      <c r="C75" s="139"/>
      <c r="D75" s="217"/>
      <c r="E75" s="212"/>
      <c r="F75" s="141"/>
      <c r="G75" s="217"/>
      <c r="H75" s="140"/>
      <c r="I75" s="218"/>
      <c r="J75" s="208" t="str">
        <f>IF(I75&lt;=0,"",IF(I75&lt;=2,"Muy Baja",IF(I75&lt;=24,"Baja",IF(I75&lt;=500,"Media",IF(I75&lt;=5000,"Alta","Muy Alta")))))</f>
        <v/>
      </c>
      <c r="K75" s="209" t="str">
        <f>IF(J75="","",IF(J75="Muy Baja",0.2,IF(J75="Baja",0.4,IF(J75="Media",0.6,IF(J75="Alta",0.8,IF(J75="Muy Alta",1,))))))</f>
        <v/>
      </c>
      <c r="L75" s="211"/>
      <c r="M75" s="209">
        <f>IF(NOT(ISERROR(MATCH(L75,'Tabla Impacto'!$B$221:$B$223,0))),'Tabla Impacto'!$F$223&amp;"Por favor no seleccionar los criterios de impacto(Afectación Económica o presupuestal y Pérdida Reputacional)",L75)</f>
        <v>0</v>
      </c>
      <c r="N75" s="208" t="str">
        <f>IF(OR(M75='Tabla Impacto'!$C$11,M75='Tabla Impacto'!$D$11),"Leve",IF(OR(M75='Tabla Impacto'!$C$12,M75='Tabla Impacto'!$D$12),"Menor",IF(OR(M75='Tabla Impacto'!$C$13,M75='Tabla Impacto'!$D$13),"Moderado",IF(OR(M75='Tabla Impacto'!$C$14,M75='Tabla Impacto'!$D$14),"Mayor",IF(OR(M75='Tabla Impacto'!$C$15,M75='Tabla Impacto'!$D$15),"Catastrófico","")))))</f>
        <v/>
      </c>
      <c r="O75" s="209" t="str">
        <f>IF(N75="","",IF(N75="Leve",0.2,IF(N75="Menor",0.4,IF(N75="Moderado",0.6,IF(N75="Mayor",0.8,IF(N75="Catastrófico",1,))))))</f>
        <v/>
      </c>
      <c r="P75" s="210" t="str">
        <f>IF(OR(AND(J75="Muy Baja",N75="Leve"),AND(J75="Muy Baja",N75="Menor"),AND(J75="Baja",N75="Leve")),"Bajo",IF(OR(AND(J75="Muy baja",N75="Moderado"),AND(J75="Baja",N75="Menor"),AND(J75="Baja",N75="Moderado"),AND(J75="Media",N75="Leve"),AND(J75="Media",N75="Menor"),AND(J75="Media",N75="Moderado"),AND(J75="Alta",N75="Leve"),AND(J75="Alta",N75="Menor")),"Moderado",IF(OR(AND(J75="Muy Baja",N75="Mayor"),AND(J75="Baja",N75="Mayor"),AND(J75="Media",N75="Mayor"),AND(J75="Alta",N75="Moderado"),AND(J75="Alta",N75="Mayor"),AND(J75="Muy Alta",N75="Leve"),AND(J75="Muy Alta",N75="Menor"),AND(J75="Muy Alta",N75="Moderado"),AND(J75="Muy Alta",N75="Mayor")),"Alto",IF(OR(AND(J75="Muy Baja",N75="Catastrófico"),AND(J75="Baja",N75="Catastrófico"),AND(J75="Media",N75="Catastrófico"),AND(J75="Alta",N75="Catastrófico"),AND(J75="Muy Alta",N75="Catastrófico")),"Extremo",""))))</f>
        <v/>
      </c>
      <c r="Q75" s="113">
        <v>1</v>
      </c>
      <c r="R75" s="114"/>
      <c r="S75" s="115" t="str">
        <f>IF(OR(T75="Preventivo",T75="Detectivo"),"Probabilidad",IF(T75="Correctivo","Impacto",""))</f>
        <v/>
      </c>
      <c r="T75" s="116"/>
      <c r="U75" s="116"/>
      <c r="V75" s="117" t="str">
        <f>IF(AND(T75="Preventivo",U75="Automático"),"50%",IF(AND(T75="Preventivo",U75="Manual"),"40%",IF(AND(T75="Detectivo",U75="Automático"),"40%",IF(AND(T75="Detectivo",U75="Manual"),"30%",IF(AND(T75="Correctivo",U75="Automático"),"35%",IF(AND(T75="Correctivo",U75="Manual"),"25%",""))))))</f>
        <v/>
      </c>
      <c r="W75" s="116"/>
      <c r="X75" s="116"/>
      <c r="Y75" s="116"/>
      <c r="Z75" s="118" t="str">
        <f>IFERROR(IF(S75="Probabilidad",(K75-(+K75*V75)),IF(S75="Impacto",K75,"")),"")</f>
        <v/>
      </c>
      <c r="AA75" s="119" t="str">
        <f>IFERROR(IF(Z75="","",IF(Z75&lt;=0.2,"Muy Baja",IF(Z75&lt;=0.4,"Baja",IF(Z75&lt;=0.6,"Media",IF(Z75&lt;=0.8,"Alta","Muy Alta"))))),"")</f>
        <v/>
      </c>
      <c r="AB75" s="117" t="str">
        <f>+Z75</f>
        <v/>
      </c>
      <c r="AC75" s="119" t="str">
        <f>IFERROR(IF(AD75="","",IF(AD75&lt;=0.2,"Leve",IF(AD75&lt;=0.4,"Menor",IF(AD75&lt;=0.6,"Moderado",IF(AD75&lt;=0.8,"Mayor","Catastrófico"))))),"")</f>
        <v/>
      </c>
      <c r="AD75" s="117" t="str">
        <f>IFERROR(IF(S75="Impacto",(O75-(+O75*V75)),IF(S75="Probabilidad",O75,"")),"")</f>
        <v/>
      </c>
      <c r="AE75" s="120" t="str">
        <f>IFERROR(IF(OR(AND(AA75="Muy Baja",AC75="Leve"),AND(AA75="Muy Baja",AC75="Menor"),AND(AA75="Baja",AC75="Leve")),"Bajo",IF(OR(AND(AA75="Muy baja",AC75="Moderado"),AND(AA75="Baja",AC75="Menor"),AND(AA75="Baja",AC75="Moderado"),AND(AA75="Media",AC75="Leve"),AND(AA75="Media",AC75="Menor"),AND(AA75="Media",AC75="Moderado"),AND(AA75="Alta",AC75="Leve"),AND(AA75="Alta",AC75="Menor")),"Moderado",IF(OR(AND(AA75="Muy Baja",AC75="Mayor"),AND(AA75="Baja",AC75="Mayor"),AND(AA75="Media",AC75="Mayor"),AND(AA75="Alta",AC75="Moderado"),AND(AA75="Alta",AC75="Mayor"),AND(AA75="Muy Alta",AC75="Leve"),AND(AA75="Muy Alta",AC75="Menor"),AND(AA75="Muy Alta",AC75="Moderado"),AND(AA75="Muy Alta",AC75="Mayor")),"Alto",IF(OR(AND(AA75="Muy Baja",AC75="Catastrófico"),AND(AA75="Baja",AC75="Catastrófico"),AND(AA75="Media",AC75="Catastrófico"),AND(AA75="Alta",AC75="Catastrófico"),AND(AA75="Muy Alta",AC75="Catastrófico")),"Extremo","")))),"")</f>
        <v/>
      </c>
      <c r="AF75" s="116"/>
      <c r="AG75" s="121"/>
      <c r="AH75" s="122"/>
      <c r="AI75" s="123"/>
      <c r="AJ75" s="123"/>
      <c r="AK75" s="121"/>
      <c r="AL75" s="122"/>
    </row>
    <row r="76" spans="1:38" x14ac:dyDescent="0.3">
      <c r="A76" s="216"/>
      <c r="B76" s="139"/>
      <c r="C76" s="139"/>
      <c r="D76" s="217"/>
      <c r="E76" s="212"/>
      <c r="F76" s="141"/>
      <c r="G76" s="217"/>
      <c r="H76" s="140"/>
      <c r="I76" s="218"/>
      <c r="J76" s="208"/>
      <c r="K76" s="209"/>
      <c r="L76" s="211"/>
      <c r="M76" s="209">
        <f ca="1">IF(NOT(ISERROR(MATCH(L76,_xlfn.ANCHORARRAY(E87),0))),K89&amp;"Por favor no seleccionar los criterios de impacto",L76)</f>
        <v>0</v>
      </c>
      <c r="N76" s="208"/>
      <c r="O76" s="209"/>
      <c r="P76" s="210"/>
      <c r="Q76" s="113">
        <v>2</v>
      </c>
      <c r="R76" s="114"/>
      <c r="S76" s="115" t="str">
        <f>IF(OR(T76="Preventivo",T76="Detectivo"),"Probabilidad",IF(T76="Correctivo","Impacto",""))</f>
        <v/>
      </c>
      <c r="T76" s="116"/>
      <c r="U76" s="116"/>
      <c r="V76" s="117" t="str">
        <f t="shared" ref="V76:V80" si="91">IF(AND(T76="Preventivo",U76="Automático"),"50%",IF(AND(T76="Preventivo",U76="Manual"),"40%",IF(AND(T76="Detectivo",U76="Automático"),"40%",IF(AND(T76="Detectivo",U76="Manual"),"30%",IF(AND(T76="Correctivo",U76="Automático"),"35%",IF(AND(T76="Correctivo",U76="Manual"),"25%",""))))))</f>
        <v/>
      </c>
      <c r="W76" s="116"/>
      <c r="X76" s="116"/>
      <c r="Y76" s="116"/>
      <c r="Z76" s="118" t="str">
        <f>IFERROR(IF(AND(S75="Probabilidad",S76="Probabilidad"),(AB75-(+AB75*V76)),IF(S76="Probabilidad",(K75-(+K75*V76)),IF(S76="Impacto",AB75,""))),"")</f>
        <v/>
      </c>
      <c r="AA76" s="119" t="str">
        <f t="shared" ref="AA76:AA80" si="92">IFERROR(IF(Z76="","",IF(Z76&lt;=0.2,"Muy Baja",IF(Z76&lt;=0.4,"Baja",IF(Z76&lt;=0.6,"Media",IF(Z76&lt;=0.8,"Alta","Muy Alta"))))),"")</f>
        <v/>
      </c>
      <c r="AB76" s="117" t="str">
        <f t="shared" ref="AB76:AB80" si="93">+Z76</f>
        <v/>
      </c>
      <c r="AC76" s="119" t="str">
        <f t="shared" ref="AC76:AC80" si="94">IFERROR(IF(AD76="","",IF(AD76&lt;=0.2,"Leve",IF(AD76&lt;=0.4,"Menor",IF(AD76&lt;=0.6,"Moderado",IF(AD76&lt;=0.8,"Mayor","Catastrófico"))))),"")</f>
        <v/>
      </c>
      <c r="AD76" s="117" t="str">
        <f>IFERROR(IF(AND(S75="Impacto",S76="Impacto"),(AD69-(+AD69*V76)),IF(S76="Impacto",($O$15-(+$O$15*V76)),IF(S76="Probabilidad",AD69,""))),"")</f>
        <v/>
      </c>
      <c r="AE76" s="120" t="str">
        <f t="shared" ref="AE76:AE77" si="95">IFERROR(IF(OR(AND(AA76="Muy Baja",AC76="Leve"),AND(AA76="Muy Baja",AC76="Menor"),AND(AA76="Baja",AC76="Leve")),"Bajo",IF(OR(AND(AA76="Muy baja",AC76="Moderado"),AND(AA76="Baja",AC76="Menor"),AND(AA76="Baja",AC76="Moderado"),AND(AA76="Media",AC76="Leve"),AND(AA76="Media",AC76="Menor"),AND(AA76="Media",AC76="Moderado"),AND(AA76="Alta",AC76="Leve"),AND(AA76="Alta",AC76="Menor")),"Moderado",IF(OR(AND(AA76="Muy Baja",AC76="Mayor"),AND(AA76="Baja",AC76="Mayor"),AND(AA76="Media",AC76="Mayor"),AND(AA76="Alta",AC76="Moderado"),AND(AA76="Alta",AC76="Mayor"),AND(AA76="Muy Alta",AC76="Leve"),AND(AA76="Muy Alta",AC76="Menor"),AND(AA76="Muy Alta",AC76="Moderado"),AND(AA76="Muy Alta",AC76="Mayor")),"Alto",IF(OR(AND(AA76="Muy Baja",AC76="Catastrófico"),AND(AA76="Baja",AC76="Catastrófico"),AND(AA76="Media",AC76="Catastrófico"),AND(AA76="Alta",AC76="Catastrófico"),AND(AA76="Muy Alta",AC76="Catastrófico")),"Extremo","")))),"")</f>
        <v/>
      </c>
      <c r="AF76" s="116"/>
      <c r="AG76" s="121"/>
      <c r="AH76" s="122"/>
      <c r="AI76" s="123"/>
      <c r="AJ76" s="123"/>
      <c r="AK76" s="121"/>
      <c r="AL76" s="122"/>
    </row>
    <row r="77" spans="1:38" x14ac:dyDescent="0.3">
      <c r="A77" s="216"/>
      <c r="B77" s="139"/>
      <c r="C77" s="139"/>
      <c r="D77" s="217"/>
      <c r="E77" s="212"/>
      <c r="F77" s="141"/>
      <c r="G77" s="217"/>
      <c r="H77" s="140"/>
      <c r="I77" s="218"/>
      <c r="J77" s="208"/>
      <c r="K77" s="209"/>
      <c r="L77" s="211"/>
      <c r="M77" s="209">
        <f ca="1">IF(NOT(ISERROR(MATCH(L77,_xlfn.ANCHORARRAY(E88),0))),K90&amp;"Por favor no seleccionar los criterios de impacto",L77)</f>
        <v>0</v>
      </c>
      <c r="N77" s="208"/>
      <c r="O77" s="209"/>
      <c r="P77" s="210"/>
      <c r="Q77" s="113">
        <v>3</v>
      </c>
      <c r="R77" s="126"/>
      <c r="S77" s="115" t="str">
        <f>IF(OR(T77="Preventivo",T77="Detectivo"),"Probabilidad",IF(T77="Correctivo","Impacto",""))</f>
        <v/>
      </c>
      <c r="T77" s="116"/>
      <c r="U77" s="116"/>
      <c r="V77" s="117" t="str">
        <f t="shared" si="91"/>
        <v/>
      </c>
      <c r="W77" s="116"/>
      <c r="X77" s="116"/>
      <c r="Y77" s="116"/>
      <c r="Z77" s="118" t="str">
        <f>IFERROR(IF(AND(S76="Probabilidad",S77="Probabilidad"),(AB76-(+AB76*V77)),IF(AND(S76="Impacto",S77="Probabilidad"),(AB75-(+AB75*V77)),IF(S77="Impacto",AB76,""))),"")</f>
        <v/>
      </c>
      <c r="AA77" s="119" t="str">
        <f t="shared" si="92"/>
        <v/>
      </c>
      <c r="AB77" s="117" t="str">
        <f t="shared" si="93"/>
        <v/>
      </c>
      <c r="AC77" s="119" t="str">
        <f t="shared" si="94"/>
        <v/>
      </c>
      <c r="AD77" s="117" t="str">
        <f>IFERROR(IF(AND(S76="Impacto",S77="Impacto"),(AD76-(+AD76*V77)),IF(AND(S76="Probabilidad",S77="Impacto"),(AD75-(+AD75*V77)),IF(S77="Probabilidad",AD76,""))),"")</f>
        <v/>
      </c>
      <c r="AE77" s="120" t="str">
        <f t="shared" si="95"/>
        <v/>
      </c>
      <c r="AF77" s="116"/>
      <c r="AG77" s="121"/>
      <c r="AH77" s="122"/>
      <c r="AI77" s="123"/>
      <c r="AJ77" s="123"/>
      <c r="AK77" s="121"/>
      <c r="AL77" s="122"/>
    </row>
    <row r="78" spans="1:38" x14ac:dyDescent="0.3">
      <c r="A78" s="216"/>
      <c r="B78" s="139"/>
      <c r="C78" s="139"/>
      <c r="D78" s="217"/>
      <c r="E78" s="212"/>
      <c r="F78" s="141"/>
      <c r="G78" s="217"/>
      <c r="H78" s="140"/>
      <c r="I78" s="218"/>
      <c r="J78" s="208"/>
      <c r="K78" s="209"/>
      <c r="L78" s="211"/>
      <c r="M78" s="209">
        <f ca="1">IF(NOT(ISERROR(MATCH(L78,_xlfn.ANCHORARRAY(E89),0))),K91&amp;"Por favor no seleccionar los criterios de impacto",L78)</f>
        <v>0</v>
      </c>
      <c r="N78" s="208"/>
      <c r="O78" s="209"/>
      <c r="P78" s="210"/>
      <c r="Q78" s="113">
        <v>4</v>
      </c>
      <c r="R78" s="114"/>
      <c r="S78" s="115" t="str">
        <f t="shared" ref="S78:S80" si="96">IF(OR(T78="Preventivo",T78="Detectivo"),"Probabilidad",IF(T78="Correctivo","Impacto",""))</f>
        <v/>
      </c>
      <c r="T78" s="116"/>
      <c r="U78" s="116"/>
      <c r="V78" s="117" t="str">
        <f t="shared" si="91"/>
        <v/>
      </c>
      <c r="W78" s="116"/>
      <c r="X78" s="116"/>
      <c r="Y78" s="116"/>
      <c r="Z78" s="118" t="str">
        <f t="shared" ref="Z78:Z80" si="97">IFERROR(IF(AND(S77="Probabilidad",S78="Probabilidad"),(AB77-(+AB77*V78)),IF(AND(S77="Impacto",S78="Probabilidad"),(AB76-(+AB76*V78)),IF(S78="Impacto",AB77,""))),"")</f>
        <v/>
      </c>
      <c r="AA78" s="119" t="str">
        <f t="shared" si="92"/>
        <v/>
      </c>
      <c r="AB78" s="117" t="str">
        <f t="shared" si="93"/>
        <v/>
      </c>
      <c r="AC78" s="119" t="str">
        <f t="shared" si="94"/>
        <v/>
      </c>
      <c r="AD78" s="117" t="str">
        <f t="shared" ref="AD78:AD80" si="98">IFERROR(IF(AND(S77="Impacto",S78="Impacto"),(AD77-(+AD77*V78)),IF(AND(S77="Probabilidad",S78="Impacto"),(AD76-(+AD76*V78)),IF(S78="Probabilidad",AD77,""))),"")</f>
        <v/>
      </c>
      <c r="AE78" s="120" t="str">
        <f>IFERROR(IF(OR(AND(AA78="Muy Baja",AC78="Leve"),AND(AA78="Muy Baja",AC78="Menor"),AND(AA78="Baja",AC78="Leve")),"Bajo",IF(OR(AND(AA78="Muy baja",AC78="Moderado"),AND(AA78="Baja",AC78="Menor"),AND(AA78="Baja",AC78="Moderado"),AND(AA78="Media",AC78="Leve"),AND(AA78="Media",AC78="Menor"),AND(AA78="Media",AC78="Moderado"),AND(AA78="Alta",AC78="Leve"),AND(AA78="Alta",AC78="Menor")),"Moderado",IF(OR(AND(AA78="Muy Baja",AC78="Mayor"),AND(AA78="Baja",AC78="Mayor"),AND(AA78="Media",AC78="Mayor"),AND(AA78="Alta",AC78="Moderado"),AND(AA78="Alta",AC78="Mayor"),AND(AA78="Muy Alta",AC78="Leve"),AND(AA78="Muy Alta",AC78="Menor"),AND(AA78="Muy Alta",AC78="Moderado"),AND(AA78="Muy Alta",AC78="Mayor")),"Alto",IF(OR(AND(AA78="Muy Baja",AC78="Catastrófico"),AND(AA78="Baja",AC78="Catastrófico"),AND(AA78="Media",AC78="Catastrófico"),AND(AA78="Alta",AC78="Catastrófico"),AND(AA78="Muy Alta",AC78="Catastrófico")),"Extremo","")))),"")</f>
        <v/>
      </c>
      <c r="AF78" s="116"/>
      <c r="AG78" s="121"/>
      <c r="AH78" s="122"/>
      <c r="AI78" s="123"/>
      <c r="AJ78" s="123"/>
      <c r="AK78" s="121"/>
      <c r="AL78" s="122"/>
    </row>
    <row r="79" spans="1:38" x14ac:dyDescent="0.3">
      <c r="A79" s="216"/>
      <c r="B79" s="139"/>
      <c r="C79" s="139"/>
      <c r="D79" s="217"/>
      <c r="E79" s="212"/>
      <c r="F79" s="141"/>
      <c r="G79" s="217"/>
      <c r="H79" s="140"/>
      <c r="I79" s="218"/>
      <c r="J79" s="208"/>
      <c r="K79" s="209"/>
      <c r="L79" s="211"/>
      <c r="M79" s="209">
        <f ca="1">IF(NOT(ISERROR(MATCH(L79,_xlfn.ANCHORARRAY(E90),0))),K92&amp;"Por favor no seleccionar los criterios de impacto",L79)</f>
        <v>0</v>
      </c>
      <c r="N79" s="208"/>
      <c r="O79" s="209"/>
      <c r="P79" s="210"/>
      <c r="Q79" s="113">
        <v>5</v>
      </c>
      <c r="R79" s="114"/>
      <c r="S79" s="115" t="str">
        <f t="shared" si="96"/>
        <v/>
      </c>
      <c r="T79" s="116"/>
      <c r="U79" s="116"/>
      <c r="V79" s="117" t="str">
        <f t="shared" si="91"/>
        <v/>
      </c>
      <c r="W79" s="116"/>
      <c r="X79" s="116"/>
      <c r="Y79" s="116"/>
      <c r="Z79" s="118" t="str">
        <f t="shared" si="97"/>
        <v/>
      </c>
      <c r="AA79" s="119" t="str">
        <f t="shared" si="92"/>
        <v/>
      </c>
      <c r="AB79" s="117" t="str">
        <f t="shared" si="93"/>
        <v/>
      </c>
      <c r="AC79" s="119" t="str">
        <f t="shared" si="94"/>
        <v/>
      </c>
      <c r="AD79" s="117" t="str">
        <f t="shared" si="98"/>
        <v/>
      </c>
      <c r="AE79" s="120" t="str">
        <f t="shared" ref="AE79:AE80" si="99">IFERROR(IF(OR(AND(AA79="Muy Baja",AC79="Leve"),AND(AA79="Muy Baja",AC79="Menor"),AND(AA79="Baja",AC79="Leve")),"Bajo",IF(OR(AND(AA79="Muy baja",AC79="Moderado"),AND(AA79="Baja",AC79="Menor"),AND(AA79="Baja",AC79="Moderado"),AND(AA79="Media",AC79="Leve"),AND(AA79="Media",AC79="Menor"),AND(AA79="Media",AC79="Moderado"),AND(AA79="Alta",AC79="Leve"),AND(AA79="Alta",AC79="Menor")),"Moderado",IF(OR(AND(AA79="Muy Baja",AC79="Mayor"),AND(AA79="Baja",AC79="Mayor"),AND(AA79="Media",AC79="Mayor"),AND(AA79="Alta",AC79="Moderado"),AND(AA79="Alta",AC79="Mayor"),AND(AA79="Muy Alta",AC79="Leve"),AND(AA79="Muy Alta",AC79="Menor"),AND(AA79="Muy Alta",AC79="Moderado"),AND(AA79="Muy Alta",AC79="Mayor")),"Alto",IF(OR(AND(AA79="Muy Baja",AC79="Catastrófico"),AND(AA79="Baja",AC79="Catastrófico"),AND(AA79="Media",AC79="Catastrófico"),AND(AA79="Alta",AC79="Catastrófico"),AND(AA79="Muy Alta",AC79="Catastrófico")),"Extremo","")))),"")</f>
        <v/>
      </c>
      <c r="AF79" s="116"/>
      <c r="AG79" s="121"/>
      <c r="AH79" s="122"/>
      <c r="AI79" s="123"/>
      <c r="AJ79" s="123"/>
      <c r="AK79" s="121"/>
      <c r="AL79" s="122"/>
    </row>
    <row r="80" spans="1:38" x14ac:dyDescent="0.3">
      <c r="A80" s="216"/>
      <c r="B80" s="139"/>
      <c r="C80" s="139"/>
      <c r="D80" s="217"/>
      <c r="E80" s="212"/>
      <c r="F80" s="141"/>
      <c r="G80" s="217"/>
      <c r="H80" s="140"/>
      <c r="I80" s="218"/>
      <c r="J80" s="208"/>
      <c r="K80" s="209"/>
      <c r="L80" s="211"/>
      <c r="M80" s="209">
        <f ca="1">IF(NOT(ISERROR(MATCH(L80,_xlfn.ANCHORARRAY(E91),0))),K93&amp;"Por favor no seleccionar los criterios de impacto",L80)</f>
        <v>0</v>
      </c>
      <c r="N80" s="208"/>
      <c r="O80" s="209"/>
      <c r="P80" s="210"/>
      <c r="Q80" s="113">
        <v>6</v>
      </c>
      <c r="R80" s="114"/>
      <c r="S80" s="115" t="str">
        <f t="shared" si="96"/>
        <v/>
      </c>
      <c r="T80" s="116"/>
      <c r="U80" s="116"/>
      <c r="V80" s="117" t="str">
        <f t="shared" si="91"/>
        <v/>
      </c>
      <c r="W80" s="116"/>
      <c r="X80" s="116"/>
      <c r="Y80" s="116"/>
      <c r="Z80" s="118" t="str">
        <f t="shared" si="97"/>
        <v/>
      </c>
      <c r="AA80" s="119" t="str">
        <f t="shared" si="92"/>
        <v/>
      </c>
      <c r="AB80" s="117" t="str">
        <f t="shared" si="93"/>
        <v/>
      </c>
      <c r="AC80" s="119" t="str">
        <f t="shared" si="94"/>
        <v/>
      </c>
      <c r="AD80" s="117" t="str">
        <f t="shared" si="98"/>
        <v/>
      </c>
      <c r="AE80" s="120" t="str">
        <f t="shared" si="99"/>
        <v/>
      </c>
      <c r="AF80" s="116"/>
      <c r="AG80" s="121"/>
      <c r="AH80" s="122"/>
      <c r="AI80" s="123"/>
      <c r="AJ80" s="123"/>
      <c r="AK80" s="121"/>
      <c r="AL80" s="122"/>
    </row>
    <row r="81" spans="1:38" x14ac:dyDescent="0.3">
      <c r="A81" s="216">
        <v>3</v>
      </c>
      <c r="B81" s="139"/>
      <c r="C81" s="139"/>
      <c r="D81" s="217"/>
      <c r="E81" s="212"/>
      <c r="F81" s="141"/>
      <c r="G81" s="217"/>
      <c r="H81" s="140"/>
      <c r="I81" s="218"/>
      <c r="J81" s="208" t="str">
        <f>IF(I81&lt;=0,"",IF(I81&lt;=2,"Muy Baja",IF(I81&lt;=24,"Baja",IF(I81&lt;=500,"Media",IF(I81&lt;=5000,"Alta","Muy Alta")))))</f>
        <v/>
      </c>
      <c r="K81" s="209" t="str">
        <f>IF(J81="","",IF(J81="Muy Baja",0.2,IF(J81="Baja",0.4,IF(J81="Media",0.6,IF(J81="Alta",0.8,IF(J81="Muy Alta",1,))))))</f>
        <v/>
      </c>
      <c r="L81" s="211"/>
      <c r="M81" s="209">
        <f>IF(NOT(ISERROR(MATCH(L81,'Tabla Impacto'!$B$221:$B$223,0))),'Tabla Impacto'!$F$223&amp;"Por favor no seleccionar los criterios de impacto(Afectación Económica o presupuestal y Pérdida Reputacional)",L81)</f>
        <v>0</v>
      </c>
      <c r="N81" s="208" t="str">
        <f>IF(OR(M81='Tabla Impacto'!$C$11,M81='Tabla Impacto'!$D$11),"Leve",IF(OR(M81='Tabla Impacto'!$C$12,M81='Tabla Impacto'!$D$12),"Menor",IF(OR(M81='Tabla Impacto'!$C$13,M81='Tabla Impacto'!$D$13),"Moderado",IF(OR(M81='Tabla Impacto'!$C$14,M81='Tabla Impacto'!$D$14),"Mayor",IF(OR(M81='Tabla Impacto'!$C$15,M81='Tabla Impacto'!$D$15),"Catastrófico","")))))</f>
        <v/>
      </c>
      <c r="O81" s="209" t="str">
        <f>IF(N81="","",IF(N81="Leve",0.2,IF(N81="Menor",0.4,IF(N81="Moderado",0.6,IF(N81="Mayor",0.8,IF(N81="Catastrófico",1,))))))</f>
        <v/>
      </c>
      <c r="P81" s="210" t="str">
        <f>IF(OR(AND(J81="Muy Baja",N81="Leve"),AND(J81="Muy Baja",N81="Menor"),AND(J81="Baja",N81="Leve")),"Bajo",IF(OR(AND(J81="Muy baja",N81="Moderado"),AND(J81="Baja",N81="Menor"),AND(J81="Baja",N81="Moderado"),AND(J81="Media",N81="Leve"),AND(J81="Media",N81="Menor"),AND(J81="Media",N81="Moderado"),AND(J81="Alta",N81="Leve"),AND(J81="Alta",N81="Menor")),"Moderado",IF(OR(AND(J81="Muy Baja",N81="Mayor"),AND(J81="Baja",N81="Mayor"),AND(J81="Media",N81="Mayor"),AND(J81="Alta",N81="Moderado"),AND(J81="Alta",N81="Mayor"),AND(J81="Muy Alta",N81="Leve"),AND(J81="Muy Alta",N81="Menor"),AND(J81="Muy Alta",N81="Moderado"),AND(J81="Muy Alta",N81="Mayor")),"Alto",IF(OR(AND(J81="Muy Baja",N81="Catastrófico"),AND(J81="Baja",N81="Catastrófico"),AND(J81="Media",N81="Catastrófico"),AND(J81="Alta",N81="Catastrófico"),AND(J81="Muy Alta",N81="Catastrófico")),"Extremo",""))))</f>
        <v/>
      </c>
      <c r="Q81" s="113">
        <v>1</v>
      </c>
      <c r="R81" s="114"/>
      <c r="S81" s="115" t="str">
        <f>IF(OR(T81="Preventivo",T81="Detectivo"),"Probabilidad",IF(T81="Correctivo","Impacto",""))</f>
        <v/>
      </c>
      <c r="T81" s="116"/>
      <c r="U81" s="116"/>
      <c r="V81" s="117" t="str">
        <f>IF(AND(T81="Preventivo",U81="Automático"),"50%",IF(AND(T81="Preventivo",U81="Manual"),"40%",IF(AND(T81="Detectivo",U81="Automático"),"40%",IF(AND(T81="Detectivo",U81="Manual"),"30%",IF(AND(T81="Correctivo",U81="Automático"),"35%",IF(AND(T81="Correctivo",U81="Manual"),"25%",""))))))</f>
        <v/>
      </c>
      <c r="W81" s="116"/>
      <c r="X81" s="116"/>
      <c r="Y81" s="116"/>
      <c r="Z81" s="118" t="str">
        <f>IFERROR(IF(S81="Probabilidad",(K81-(+K81*V81)),IF(S81="Impacto",K81,"")),"")</f>
        <v/>
      </c>
      <c r="AA81" s="119" t="str">
        <f>IFERROR(IF(Z81="","",IF(Z81&lt;=0.2,"Muy Baja",IF(Z81&lt;=0.4,"Baja",IF(Z81&lt;=0.6,"Media",IF(Z81&lt;=0.8,"Alta","Muy Alta"))))),"")</f>
        <v/>
      </c>
      <c r="AB81" s="117" t="str">
        <f>+Z81</f>
        <v/>
      </c>
      <c r="AC81" s="119" t="str">
        <f>IFERROR(IF(AD81="","",IF(AD81&lt;=0.2,"Leve",IF(AD81&lt;=0.4,"Menor",IF(AD81&lt;=0.6,"Moderado",IF(AD81&lt;=0.8,"Mayor","Catastrófico"))))),"")</f>
        <v/>
      </c>
      <c r="AD81" s="117" t="str">
        <f>IFERROR(IF(S81="Impacto",(O81-(+O81*V81)),IF(S81="Probabilidad",O81,"")),"")</f>
        <v/>
      </c>
      <c r="AE81" s="120" t="str">
        <f>IFERROR(IF(OR(AND(AA81="Muy Baja",AC81="Leve"),AND(AA81="Muy Baja",AC81="Menor"),AND(AA81="Baja",AC81="Leve")),"Bajo",IF(OR(AND(AA81="Muy baja",AC81="Moderado"),AND(AA81="Baja",AC81="Menor"),AND(AA81="Baja",AC81="Moderado"),AND(AA81="Media",AC81="Leve"),AND(AA81="Media",AC81="Menor"),AND(AA81="Media",AC81="Moderado"),AND(AA81="Alta",AC81="Leve"),AND(AA81="Alta",AC81="Menor")),"Moderado",IF(OR(AND(AA81="Muy Baja",AC81="Mayor"),AND(AA81="Baja",AC81="Mayor"),AND(AA81="Media",AC81="Mayor"),AND(AA81="Alta",AC81="Moderado"),AND(AA81="Alta",AC81="Mayor"),AND(AA81="Muy Alta",AC81="Leve"),AND(AA81="Muy Alta",AC81="Menor"),AND(AA81="Muy Alta",AC81="Moderado"),AND(AA81="Muy Alta",AC81="Mayor")),"Alto",IF(OR(AND(AA81="Muy Baja",AC81="Catastrófico"),AND(AA81="Baja",AC81="Catastrófico"),AND(AA81="Media",AC81="Catastrófico"),AND(AA81="Alta",AC81="Catastrófico"),AND(AA81="Muy Alta",AC81="Catastrófico")),"Extremo","")))),"")</f>
        <v/>
      </c>
      <c r="AF81" s="116"/>
      <c r="AG81" s="121"/>
      <c r="AH81" s="122"/>
      <c r="AI81" s="123"/>
      <c r="AJ81" s="123"/>
      <c r="AK81" s="121"/>
      <c r="AL81" s="122"/>
    </row>
    <row r="82" spans="1:38" x14ac:dyDescent="0.3">
      <c r="A82" s="216"/>
      <c r="B82" s="139"/>
      <c r="C82" s="139"/>
      <c r="D82" s="217"/>
      <c r="E82" s="212"/>
      <c r="F82" s="141"/>
      <c r="G82" s="217"/>
      <c r="H82" s="140"/>
      <c r="I82" s="218"/>
      <c r="J82" s="208"/>
      <c r="K82" s="209"/>
      <c r="L82" s="211"/>
      <c r="M82" s="209">
        <f t="shared" ref="M82:M86" ca="1" si="100">IF(NOT(ISERROR(MATCH(L82,_xlfn.ANCHORARRAY(E93),0))),K95&amp;"Por favor no seleccionar los criterios de impacto",L82)</f>
        <v>0</v>
      </c>
      <c r="N82" s="208"/>
      <c r="O82" s="209"/>
      <c r="P82" s="210"/>
      <c r="Q82" s="113">
        <v>2</v>
      </c>
      <c r="R82" s="114"/>
      <c r="S82" s="115" t="str">
        <f>IF(OR(T82="Preventivo",T82="Detectivo"),"Probabilidad",IF(T82="Correctivo","Impacto",""))</f>
        <v/>
      </c>
      <c r="T82" s="116"/>
      <c r="U82" s="116"/>
      <c r="V82" s="117" t="str">
        <f t="shared" ref="V82:V86" si="101">IF(AND(T82="Preventivo",U82="Automático"),"50%",IF(AND(T82="Preventivo",U82="Manual"),"40%",IF(AND(T82="Detectivo",U82="Automático"),"40%",IF(AND(T82="Detectivo",U82="Manual"),"30%",IF(AND(T82="Correctivo",U82="Automático"),"35%",IF(AND(T82="Correctivo",U82="Manual"),"25%",""))))))</f>
        <v/>
      </c>
      <c r="W82" s="116"/>
      <c r="X82" s="116"/>
      <c r="Y82" s="116"/>
      <c r="Z82" s="127" t="str">
        <f>IFERROR(IF(AND(S81="Probabilidad",S82="Probabilidad"),(AB81-(+AB81*V82)),IF(S82="Probabilidad",(K81-(+K81*V82)),IF(S82="Impacto",AB81,""))),"")</f>
        <v/>
      </c>
      <c r="AA82" s="119" t="str">
        <f t="shared" ref="AA82:AA86" si="102">IFERROR(IF(Z82="","",IF(Z82&lt;=0.2,"Muy Baja",IF(Z82&lt;=0.4,"Baja",IF(Z82&lt;=0.6,"Media",IF(Z82&lt;=0.8,"Alta","Muy Alta"))))),"")</f>
        <v/>
      </c>
      <c r="AB82" s="117" t="str">
        <f t="shared" ref="AB82:AB86" si="103">+Z82</f>
        <v/>
      </c>
      <c r="AC82" s="119" t="str">
        <f t="shared" ref="AC82:AC86" si="104">IFERROR(IF(AD82="","",IF(AD82&lt;=0.2,"Leve",IF(AD82&lt;=0.4,"Menor",IF(AD82&lt;=0.6,"Moderado",IF(AD82&lt;=0.8,"Mayor","Catastrófico"))))),"")</f>
        <v/>
      </c>
      <c r="AD82" s="117" t="str">
        <f>IFERROR(IF(AND(S81="Impacto",S82="Impacto"),(AD75-(+AD75*V82)),IF(S82="Impacto",($O$21-(+$O$21*V82)),IF(S82="Probabilidad",AD75,""))),"")</f>
        <v/>
      </c>
      <c r="AE82" s="120" t="str">
        <f t="shared" ref="AE82:AE83" si="105">IFERROR(IF(OR(AND(AA82="Muy Baja",AC82="Leve"),AND(AA82="Muy Baja",AC82="Menor"),AND(AA82="Baja",AC82="Leve")),"Bajo",IF(OR(AND(AA82="Muy baja",AC82="Moderado"),AND(AA82="Baja",AC82="Menor"),AND(AA82="Baja",AC82="Moderado"),AND(AA82="Media",AC82="Leve"),AND(AA82="Media",AC82="Menor"),AND(AA82="Media",AC82="Moderado"),AND(AA82="Alta",AC82="Leve"),AND(AA82="Alta",AC82="Menor")),"Moderado",IF(OR(AND(AA82="Muy Baja",AC82="Mayor"),AND(AA82="Baja",AC82="Mayor"),AND(AA82="Media",AC82="Mayor"),AND(AA82="Alta",AC82="Moderado"),AND(AA82="Alta",AC82="Mayor"),AND(AA82="Muy Alta",AC82="Leve"),AND(AA82="Muy Alta",AC82="Menor"),AND(AA82="Muy Alta",AC82="Moderado"),AND(AA82="Muy Alta",AC82="Mayor")),"Alto",IF(OR(AND(AA82="Muy Baja",AC82="Catastrófico"),AND(AA82="Baja",AC82="Catastrófico"),AND(AA82="Media",AC82="Catastrófico"),AND(AA82="Alta",AC82="Catastrófico"),AND(AA82="Muy Alta",AC82="Catastrófico")),"Extremo","")))),"")</f>
        <v/>
      </c>
      <c r="AF82" s="116"/>
      <c r="AG82" s="121"/>
      <c r="AH82" s="122"/>
      <c r="AI82" s="123"/>
      <c r="AJ82" s="123"/>
      <c r="AK82" s="121"/>
      <c r="AL82" s="122"/>
    </row>
    <row r="83" spans="1:38" x14ac:dyDescent="0.3">
      <c r="A83" s="216"/>
      <c r="B83" s="139"/>
      <c r="C83" s="139"/>
      <c r="D83" s="217"/>
      <c r="E83" s="212"/>
      <c r="F83" s="141"/>
      <c r="G83" s="217"/>
      <c r="H83" s="140"/>
      <c r="I83" s="218"/>
      <c r="J83" s="208"/>
      <c r="K83" s="209"/>
      <c r="L83" s="211"/>
      <c r="M83" s="209">
        <f t="shared" ca="1" si="100"/>
        <v>0</v>
      </c>
      <c r="N83" s="208"/>
      <c r="O83" s="209"/>
      <c r="P83" s="210"/>
      <c r="Q83" s="113">
        <v>3</v>
      </c>
      <c r="R83" s="126"/>
      <c r="S83" s="115" t="str">
        <f>IF(OR(T83="Preventivo",T83="Detectivo"),"Probabilidad",IF(T83="Correctivo","Impacto",""))</f>
        <v/>
      </c>
      <c r="T83" s="116"/>
      <c r="U83" s="116"/>
      <c r="V83" s="117" t="str">
        <f t="shared" si="101"/>
        <v/>
      </c>
      <c r="W83" s="116"/>
      <c r="X83" s="116"/>
      <c r="Y83" s="116"/>
      <c r="Z83" s="118" t="str">
        <f>IFERROR(IF(AND(S82="Probabilidad",S83="Probabilidad"),(AB82-(+AB82*V83)),IF(AND(S82="Impacto",S83="Probabilidad"),(AB81-(+AB81*V83)),IF(S83="Impacto",AB82,""))),"")</f>
        <v/>
      </c>
      <c r="AA83" s="119" t="str">
        <f t="shared" si="102"/>
        <v/>
      </c>
      <c r="AB83" s="117" t="str">
        <f t="shared" si="103"/>
        <v/>
      </c>
      <c r="AC83" s="119" t="str">
        <f t="shared" si="104"/>
        <v/>
      </c>
      <c r="AD83" s="117" t="str">
        <f>IFERROR(IF(AND(S82="Impacto",S83="Impacto"),(AD82-(+AD82*V83)),IF(AND(S82="Probabilidad",S83="Impacto"),(AD81-(+AD81*V83)),IF(S83="Probabilidad",AD82,""))),"")</f>
        <v/>
      </c>
      <c r="AE83" s="120" t="str">
        <f t="shared" si="105"/>
        <v/>
      </c>
      <c r="AF83" s="116"/>
      <c r="AG83" s="121"/>
      <c r="AH83" s="122"/>
      <c r="AI83" s="123"/>
      <c r="AJ83" s="123"/>
      <c r="AK83" s="121"/>
      <c r="AL83" s="122"/>
    </row>
    <row r="84" spans="1:38" x14ac:dyDescent="0.3">
      <c r="A84" s="216"/>
      <c r="B84" s="139"/>
      <c r="C84" s="139"/>
      <c r="D84" s="217"/>
      <c r="E84" s="212"/>
      <c r="F84" s="141"/>
      <c r="G84" s="217"/>
      <c r="H84" s="140"/>
      <c r="I84" s="218"/>
      <c r="J84" s="208"/>
      <c r="K84" s="209"/>
      <c r="L84" s="211"/>
      <c r="M84" s="209">
        <f t="shared" ca="1" si="100"/>
        <v>0</v>
      </c>
      <c r="N84" s="208"/>
      <c r="O84" s="209"/>
      <c r="P84" s="210"/>
      <c r="Q84" s="113">
        <v>4</v>
      </c>
      <c r="R84" s="114"/>
      <c r="S84" s="115" t="str">
        <f t="shared" ref="S84:S86" si="106">IF(OR(T84="Preventivo",T84="Detectivo"),"Probabilidad",IF(T84="Correctivo","Impacto",""))</f>
        <v/>
      </c>
      <c r="T84" s="116"/>
      <c r="U84" s="116"/>
      <c r="V84" s="117" t="str">
        <f t="shared" si="101"/>
        <v/>
      </c>
      <c r="W84" s="116"/>
      <c r="X84" s="116"/>
      <c r="Y84" s="116"/>
      <c r="Z84" s="118" t="str">
        <f t="shared" ref="Z84:Z86" si="107">IFERROR(IF(AND(S83="Probabilidad",S84="Probabilidad"),(AB83-(+AB83*V84)),IF(AND(S83="Impacto",S84="Probabilidad"),(AB82-(+AB82*V84)),IF(S84="Impacto",AB83,""))),"")</f>
        <v/>
      </c>
      <c r="AA84" s="119" t="str">
        <f t="shared" si="102"/>
        <v/>
      </c>
      <c r="AB84" s="117" t="str">
        <f t="shared" si="103"/>
        <v/>
      </c>
      <c r="AC84" s="119" t="str">
        <f t="shared" si="104"/>
        <v/>
      </c>
      <c r="AD84" s="117" t="str">
        <f t="shared" ref="AD84:AD86" si="108">IFERROR(IF(AND(S83="Impacto",S84="Impacto"),(AD83-(+AD83*V84)),IF(AND(S83="Probabilidad",S84="Impacto"),(AD82-(+AD82*V84)),IF(S84="Probabilidad",AD83,""))),"")</f>
        <v/>
      </c>
      <c r="AE84" s="120" t="str">
        <f>IFERROR(IF(OR(AND(AA84="Muy Baja",AC84="Leve"),AND(AA84="Muy Baja",AC84="Menor"),AND(AA84="Baja",AC84="Leve")),"Bajo",IF(OR(AND(AA84="Muy baja",AC84="Moderado"),AND(AA84="Baja",AC84="Menor"),AND(AA84="Baja",AC84="Moderado"),AND(AA84="Media",AC84="Leve"),AND(AA84="Media",AC84="Menor"),AND(AA84="Media",AC84="Moderado"),AND(AA84="Alta",AC84="Leve"),AND(AA84="Alta",AC84="Menor")),"Moderado",IF(OR(AND(AA84="Muy Baja",AC84="Mayor"),AND(AA84="Baja",AC84="Mayor"),AND(AA84="Media",AC84="Mayor"),AND(AA84="Alta",AC84="Moderado"),AND(AA84="Alta",AC84="Mayor"),AND(AA84="Muy Alta",AC84="Leve"),AND(AA84="Muy Alta",AC84="Menor"),AND(AA84="Muy Alta",AC84="Moderado"),AND(AA84="Muy Alta",AC84="Mayor")),"Alto",IF(OR(AND(AA84="Muy Baja",AC84="Catastrófico"),AND(AA84="Baja",AC84="Catastrófico"),AND(AA84="Media",AC84="Catastrófico"),AND(AA84="Alta",AC84="Catastrófico"),AND(AA84="Muy Alta",AC84="Catastrófico")),"Extremo","")))),"")</f>
        <v/>
      </c>
      <c r="AF84" s="116"/>
      <c r="AG84" s="121"/>
      <c r="AH84" s="122"/>
      <c r="AI84" s="123"/>
      <c r="AJ84" s="123"/>
      <c r="AK84" s="121"/>
      <c r="AL84" s="122"/>
    </row>
    <row r="85" spans="1:38" x14ac:dyDescent="0.3">
      <c r="A85" s="216"/>
      <c r="B85" s="139"/>
      <c r="C85" s="139"/>
      <c r="D85" s="217"/>
      <c r="E85" s="212"/>
      <c r="F85" s="141"/>
      <c r="G85" s="217"/>
      <c r="H85" s="140"/>
      <c r="I85" s="218"/>
      <c r="J85" s="208"/>
      <c r="K85" s="209"/>
      <c r="L85" s="211"/>
      <c r="M85" s="209">
        <f t="shared" ca="1" si="100"/>
        <v>0</v>
      </c>
      <c r="N85" s="208"/>
      <c r="O85" s="209"/>
      <c r="P85" s="210"/>
      <c r="Q85" s="113">
        <v>5</v>
      </c>
      <c r="R85" s="114"/>
      <c r="S85" s="115" t="str">
        <f t="shared" si="106"/>
        <v/>
      </c>
      <c r="T85" s="116"/>
      <c r="U85" s="116"/>
      <c r="V85" s="117" t="str">
        <f t="shared" si="101"/>
        <v/>
      </c>
      <c r="W85" s="116"/>
      <c r="X85" s="116"/>
      <c r="Y85" s="116"/>
      <c r="Z85" s="118" t="str">
        <f t="shared" si="107"/>
        <v/>
      </c>
      <c r="AA85" s="119" t="str">
        <f t="shared" si="102"/>
        <v/>
      </c>
      <c r="AB85" s="117" t="str">
        <f t="shared" si="103"/>
        <v/>
      </c>
      <c r="AC85" s="119" t="str">
        <f t="shared" si="104"/>
        <v/>
      </c>
      <c r="AD85" s="117" t="str">
        <f t="shared" si="108"/>
        <v/>
      </c>
      <c r="AE85" s="120" t="str">
        <f t="shared" ref="AE85:AE86" si="109">IFERROR(IF(OR(AND(AA85="Muy Baja",AC85="Leve"),AND(AA85="Muy Baja",AC85="Menor"),AND(AA85="Baja",AC85="Leve")),"Bajo",IF(OR(AND(AA85="Muy baja",AC85="Moderado"),AND(AA85="Baja",AC85="Menor"),AND(AA85="Baja",AC85="Moderado"),AND(AA85="Media",AC85="Leve"),AND(AA85="Media",AC85="Menor"),AND(AA85="Media",AC85="Moderado"),AND(AA85="Alta",AC85="Leve"),AND(AA85="Alta",AC85="Menor")),"Moderado",IF(OR(AND(AA85="Muy Baja",AC85="Mayor"),AND(AA85="Baja",AC85="Mayor"),AND(AA85="Media",AC85="Mayor"),AND(AA85="Alta",AC85="Moderado"),AND(AA85="Alta",AC85="Mayor"),AND(AA85="Muy Alta",AC85="Leve"),AND(AA85="Muy Alta",AC85="Menor"),AND(AA85="Muy Alta",AC85="Moderado"),AND(AA85="Muy Alta",AC85="Mayor")),"Alto",IF(OR(AND(AA85="Muy Baja",AC85="Catastrófico"),AND(AA85="Baja",AC85="Catastrófico"),AND(AA85="Media",AC85="Catastrófico"),AND(AA85="Alta",AC85="Catastrófico"),AND(AA85="Muy Alta",AC85="Catastrófico")),"Extremo","")))),"")</f>
        <v/>
      </c>
      <c r="AF85" s="116"/>
      <c r="AG85" s="121"/>
      <c r="AH85" s="122"/>
      <c r="AI85" s="123"/>
      <c r="AJ85" s="123"/>
      <c r="AK85" s="121"/>
      <c r="AL85" s="122"/>
    </row>
    <row r="86" spans="1:38" x14ac:dyDescent="0.3">
      <c r="A86" s="216"/>
      <c r="B86" s="139"/>
      <c r="C86" s="139"/>
      <c r="D86" s="217"/>
      <c r="E86" s="212"/>
      <c r="F86" s="141"/>
      <c r="G86" s="217"/>
      <c r="H86" s="140"/>
      <c r="I86" s="218"/>
      <c r="J86" s="208"/>
      <c r="K86" s="209"/>
      <c r="L86" s="211"/>
      <c r="M86" s="209">
        <f t="shared" ca="1" si="100"/>
        <v>0</v>
      </c>
      <c r="N86" s="208"/>
      <c r="O86" s="209"/>
      <c r="P86" s="210"/>
      <c r="Q86" s="113">
        <v>6</v>
      </c>
      <c r="R86" s="114"/>
      <c r="S86" s="115" t="str">
        <f t="shared" si="106"/>
        <v/>
      </c>
      <c r="T86" s="116"/>
      <c r="U86" s="116"/>
      <c r="V86" s="117" t="str">
        <f t="shared" si="101"/>
        <v/>
      </c>
      <c r="W86" s="116"/>
      <c r="X86" s="116"/>
      <c r="Y86" s="116"/>
      <c r="Z86" s="118" t="str">
        <f t="shared" si="107"/>
        <v/>
      </c>
      <c r="AA86" s="119" t="str">
        <f t="shared" si="102"/>
        <v/>
      </c>
      <c r="AB86" s="117" t="str">
        <f t="shared" si="103"/>
        <v/>
      </c>
      <c r="AC86" s="119" t="str">
        <f t="shared" si="104"/>
        <v/>
      </c>
      <c r="AD86" s="117" t="str">
        <f t="shared" si="108"/>
        <v/>
      </c>
      <c r="AE86" s="120" t="str">
        <f t="shared" si="109"/>
        <v/>
      </c>
      <c r="AF86" s="116"/>
      <c r="AG86" s="121"/>
      <c r="AH86" s="122"/>
      <c r="AI86" s="123"/>
      <c r="AJ86" s="123"/>
      <c r="AK86" s="121"/>
      <c r="AL86" s="122"/>
    </row>
    <row r="87" spans="1:38" x14ac:dyDescent="0.3">
      <c r="A87" s="216">
        <v>4</v>
      </c>
      <c r="B87" s="139"/>
      <c r="C87" s="139"/>
      <c r="D87" s="217"/>
      <c r="E87" s="212"/>
      <c r="F87" s="141"/>
      <c r="G87" s="217"/>
      <c r="H87" s="140"/>
      <c r="I87" s="218"/>
      <c r="J87" s="208" t="str">
        <f>IF(I87&lt;=0,"",IF(I87&lt;=2,"Muy Baja",IF(I87&lt;=24,"Baja",IF(I87&lt;=500,"Media",IF(I87&lt;=5000,"Alta","Muy Alta")))))</f>
        <v/>
      </c>
      <c r="K87" s="209" t="str">
        <f>IF(J87="","",IF(J87="Muy Baja",0.2,IF(J87="Baja",0.4,IF(J87="Media",0.6,IF(J87="Alta",0.8,IF(J87="Muy Alta",1,))))))</f>
        <v/>
      </c>
      <c r="L87" s="211"/>
      <c r="M87" s="209">
        <f>IF(NOT(ISERROR(MATCH(L87,'Tabla Impacto'!$B$221:$B$223,0))),'Tabla Impacto'!$F$223&amp;"Por favor no seleccionar los criterios de impacto(Afectación Económica o presupuestal y Pérdida Reputacional)",L87)</f>
        <v>0</v>
      </c>
      <c r="N87" s="208" t="str">
        <f>IF(OR(M87='Tabla Impacto'!$C$11,M87='Tabla Impacto'!$D$11),"Leve",IF(OR(M87='Tabla Impacto'!$C$12,M87='Tabla Impacto'!$D$12),"Menor",IF(OR(M87='Tabla Impacto'!$C$13,M87='Tabla Impacto'!$D$13),"Moderado",IF(OR(M87='Tabla Impacto'!$C$14,M87='Tabla Impacto'!$D$14),"Mayor",IF(OR(M87='Tabla Impacto'!$C$15,M87='Tabla Impacto'!$D$15),"Catastrófico","")))))</f>
        <v/>
      </c>
      <c r="O87" s="209" t="str">
        <f>IF(N87="","",IF(N87="Leve",0.2,IF(N87="Menor",0.4,IF(N87="Moderado",0.6,IF(N87="Mayor",0.8,IF(N87="Catastrófico",1,))))))</f>
        <v/>
      </c>
      <c r="P87" s="210" t="str">
        <f>IF(OR(AND(J87="Muy Baja",N87="Leve"),AND(J87="Muy Baja",N87="Menor"),AND(J87="Baja",N87="Leve")),"Bajo",IF(OR(AND(J87="Muy baja",N87="Moderado"),AND(J87="Baja",N87="Menor"),AND(J87="Baja",N87="Moderado"),AND(J87="Media",N87="Leve"),AND(J87="Media",N87="Menor"),AND(J87="Media",N87="Moderado"),AND(J87="Alta",N87="Leve"),AND(J87="Alta",N87="Menor")),"Moderado",IF(OR(AND(J87="Muy Baja",N87="Mayor"),AND(J87="Baja",N87="Mayor"),AND(J87="Media",N87="Mayor"),AND(J87="Alta",N87="Moderado"),AND(J87="Alta",N87="Mayor"),AND(J87="Muy Alta",N87="Leve"),AND(J87="Muy Alta",N87="Menor"),AND(J87="Muy Alta",N87="Moderado"),AND(J87="Muy Alta",N87="Mayor")),"Alto",IF(OR(AND(J87="Muy Baja",N87="Catastrófico"),AND(J87="Baja",N87="Catastrófico"),AND(J87="Media",N87="Catastrófico"),AND(J87="Alta",N87="Catastrófico"),AND(J87="Muy Alta",N87="Catastrófico")),"Extremo",""))))</f>
        <v/>
      </c>
      <c r="Q87" s="113">
        <v>1</v>
      </c>
      <c r="R87" s="114"/>
      <c r="S87" s="115" t="str">
        <f>IF(OR(T87="Preventivo",T87="Detectivo"),"Probabilidad",IF(T87="Correctivo","Impacto",""))</f>
        <v/>
      </c>
      <c r="T87" s="116"/>
      <c r="U87" s="116"/>
      <c r="V87" s="117" t="str">
        <f>IF(AND(T87="Preventivo",U87="Automático"),"50%",IF(AND(T87="Preventivo",U87="Manual"),"40%",IF(AND(T87="Detectivo",U87="Automático"),"40%",IF(AND(T87="Detectivo",U87="Manual"),"30%",IF(AND(T87="Correctivo",U87="Automático"),"35%",IF(AND(T87="Correctivo",U87="Manual"),"25%",""))))))</f>
        <v/>
      </c>
      <c r="W87" s="116"/>
      <c r="X87" s="116"/>
      <c r="Y87" s="116"/>
      <c r="Z87" s="118" t="str">
        <f>IFERROR(IF(S87="Probabilidad",(K87-(+K87*V87)),IF(S87="Impacto",K87,"")),"")</f>
        <v/>
      </c>
      <c r="AA87" s="119" t="str">
        <f>IFERROR(IF(Z87="","",IF(Z87&lt;=0.2,"Muy Baja",IF(Z87&lt;=0.4,"Baja",IF(Z87&lt;=0.6,"Media",IF(Z87&lt;=0.8,"Alta","Muy Alta"))))),"")</f>
        <v/>
      </c>
      <c r="AB87" s="117" t="str">
        <f>+Z87</f>
        <v/>
      </c>
      <c r="AC87" s="119" t="str">
        <f>IFERROR(IF(AD87="","",IF(AD87&lt;=0.2,"Leve",IF(AD87&lt;=0.4,"Menor",IF(AD87&lt;=0.6,"Moderado",IF(AD87&lt;=0.8,"Mayor","Catastrófico"))))),"")</f>
        <v/>
      </c>
      <c r="AD87" s="117" t="str">
        <f>IFERROR(IF(S87="Impacto",(O87-(+O87*V87)),IF(S87="Probabilidad",O87,"")),"")</f>
        <v/>
      </c>
      <c r="AE87" s="120" t="str">
        <f>IFERROR(IF(OR(AND(AA87="Muy Baja",AC87="Leve"),AND(AA87="Muy Baja",AC87="Menor"),AND(AA87="Baja",AC87="Leve")),"Bajo",IF(OR(AND(AA87="Muy baja",AC87="Moderado"),AND(AA87="Baja",AC87="Menor"),AND(AA87="Baja",AC87="Moderado"),AND(AA87="Media",AC87="Leve"),AND(AA87="Media",AC87="Menor"),AND(AA87="Media",AC87="Moderado"),AND(AA87="Alta",AC87="Leve"),AND(AA87="Alta",AC87="Menor")),"Moderado",IF(OR(AND(AA87="Muy Baja",AC87="Mayor"),AND(AA87="Baja",AC87="Mayor"),AND(AA87="Media",AC87="Mayor"),AND(AA87="Alta",AC87="Moderado"),AND(AA87="Alta",AC87="Mayor"),AND(AA87="Muy Alta",AC87="Leve"),AND(AA87="Muy Alta",AC87="Menor"),AND(AA87="Muy Alta",AC87="Moderado"),AND(AA87="Muy Alta",AC87="Mayor")),"Alto",IF(OR(AND(AA87="Muy Baja",AC87="Catastrófico"),AND(AA87="Baja",AC87="Catastrófico"),AND(AA87="Media",AC87="Catastrófico"),AND(AA87="Alta",AC87="Catastrófico"),AND(AA87="Muy Alta",AC87="Catastrófico")),"Extremo","")))),"")</f>
        <v/>
      </c>
      <c r="AF87" s="116"/>
      <c r="AG87" s="121"/>
      <c r="AH87" s="122"/>
      <c r="AI87" s="123"/>
      <c r="AJ87" s="123"/>
      <c r="AK87" s="121"/>
      <c r="AL87" s="122"/>
    </row>
    <row r="88" spans="1:38" x14ac:dyDescent="0.3">
      <c r="A88" s="216"/>
      <c r="B88" s="139"/>
      <c r="C88" s="139"/>
      <c r="D88" s="217"/>
      <c r="E88" s="212"/>
      <c r="F88" s="141"/>
      <c r="G88" s="217"/>
      <c r="H88" s="140"/>
      <c r="I88" s="218"/>
      <c r="J88" s="208"/>
      <c r="K88" s="209"/>
      <c r="L88" s="211"/>
      <c r="M88" s="209">
        <f t="shared" ref="M88:M92" ca="1" si="110">IF(NOT(ISERROR(MATCH(L88,_xlfn.ANCHORARRAY(E99),0))),K101&amp;"Por favor no seleccionar los criterios de impacto",L88)</f>
        <v>0</v>
      </c>
      <c r="N88" s="208"/>
      <c r="O88" s="209"/>
      <c r="P88" s="210"/>
      <c r="Q88" s="113">
        <v>2</v>
      </c>
      <c r="R88" s="114"/>
      <c r="S88" s="115" t="str">
        <f>IF(OR(T88="Preventivo",T88="Detectivo"),"Probabilidad",IF(T88="Correctivo","Impacto",""))</f>
        <v/>
      </c>
      <c r="T88" s="116"/>
      <c r="U88" s="116"/>
      <c r="V88" s="117" t="str">
        <f t="shared" ref="V88:V92" si="111">IF(AND(T88="Preventivo",U88="Automático"),"50%",IF(AND(T88="Preventivo",U88="Manual"),"40%",IF(AND(T88="Detectivo",U88="Automático"),"40%",IF(AND(T88="Detectivo",U88="Manual"),"30%",IF(AND(T88="Correctivo",U88="Automático"),"35%",IF(AND(T88="Correctivo",U88="Manual"),"25%",""))))))</f>
        <v/>
      </c>
      <c r="W88" s="116"/>
      <c r="X88" s="116"/>
      <c r="Y88" s="116"/>
      <c r="Z88" s="118" t="str">
        <f>IFERROR(IF(AND(S87="Probabilidad",S88="Probabilidad"),(AB87-(+AB87*V88)),IF(S88="Probabilidad",(K87-(+K87*V88)),IF(S88="Impacto",AB87,""))),"")</f>
        <v/>
      </c>
      <c r="AA88" s="119" t="str">
        <f t="shared" ref="AA88:AA90" si="112">IFERROR(IF(Z88="","",IF(Z88&lt;=0.2,"Muy Baja",IF(Z88&lt;=0.4,"Baja",IF(Z88&lt;=0.6,"Media",IF(Z88&lt;=0.8,"Alta","Muy Alta"))))),"")</f>
        <v/>
      </c>
      <c r="AB88" s="117" t="str">
        <f t="shared" ref="AB88:AB92" si="113">+Z88</f>
        <v/>
      </c>
      <c r="AC88" s="119" t="str">
        <f t="shared" ref="AC88:AC92" si="114">IFERROR(IF(AD88="","",IF(AD88&lt;=0.2,"Leve",IF(AD88&lt;=0.4,"Menor",IF(AD88&lt;=0.6,"Moderado",IF(AD88&lt;=0.8,"Mayor","Catastrófico"))))),"")</f>
        <v/>
      </c>
      <c r="AD88" s="117" t="str">
        <f>IFERROR(IF(AND(S87="Impacto",S88="Impacto"),(AD81-(+AD81*V88)),IF(S88="Impacto",($O$27-(+$O$27*V88)),IF(S88="Probabilidad",AD81,""))),"")</f>
        <v/>
      </c>
      <c r="AE88" s="120" t="str">
        <f t="shared" ref="AE88:AE89" si="115">IFERROR(IF(OR(AND(AA88="Muy Baja",AC88="Leve"),AND(AA88="Muy Baja",AC88="Menor"),AND(AA88="Baja",AC88="Leve")),"Bajo",IF(OR(AND(AA88="Muy baja",AC88="Moderado"),AND(AA88="Baja",AC88="Menor"),AND(AA88="Baja",AC88="Moderado"),AND(AA88="Media",AC88="Leve"),AND(AA88="Media",AC88="Menor"),AND(AA88="Media",AC88="Moderado"),AND(AA88="Alta",AC88="Leve"),AND(AA88="Alta",AC88="Menor")),"Moderado",IF(OR(AND(AA88="Muy Baja",AC88="Mayor"),AND(AA88="Baja",AC88="Mayor"),AND(AA88="Media",AC88="Mayor"),AND(AA88="Alta",AC88="Moderado"),AND(AA88="Alta",AC88="Mayor"),AND(AA88="Muy Alta",AC88="Leve"),AND(AA88="Muy Alta",AC88="Menor"),AND(AA88="Muy Alta",AC88="Moderado"),AND(AA88="Muy Alta",AC88="Mayor")),"Alto",IF(OR(AND(AA88="Muy Baja",AC88="Catastrófico"),AND(AA88="Baja",AC88="Catastrófico"),AND(AA88="Media",AC88="Catastrófico"),AND(AA88="Alta",AC88="Catastrófico"),AND(AA88="Muy Alta",AC88="Catastrófico")),"Extremo","")))),"")</f>
        <v/>
      </c>
      <c r="AF88" s="116"/>
      <c r="AG88" s="121"/>
      <c r="AH88" s="122"/>
      <c r="AI88" s="123"/>
      <c r="AJ88" s="123"/>
      <c r="AK88" s="121"/>
      <c r="AL88" s="122"/>
    </row>
    <row r="89" spans="1:38" x14ac:dyDescent="0.3">
      <c r="A89" s="216"/>
      <c r="B89" s="139"/>
      <c r="C89" s="139"/>
      <c r="D89" s="217"/>
      <c r="E89" s="212"/>
      <c r="F89" s="141"/>
      <c r="G89" s="217"/>
      <c r="H89" s="140"/>
      <c r="I89" s="218"/>
      <c r="J89" s="208"/>
      <c r="K89" s="209"/>
      <c r="L89" s="211"/>
      <c r="M89" s="209">
        <f t="shared" ca="1" si="110"/>
        <v>0</v>
      </c>
      <c r="N89" s="208"/>
      <c r="O89" s="209"/>
      <c r="P89" s="210"/>
      <c r="Q89" s="113">
        <v>3</v>
      </c>
      <c r="R89" s="126"/>
      <c r="S89" s="115" t="str">
        <f>IF(OR(T89="Preventivo",T89="Detectivo"),"Probabilidad",IF(T89="Correctivo","Impacto",""))</f>
        <v/>
      </c>
      <c r="T89" s="116"/>
      <c r="U89" s="116"/>
      <c r="V89" s="117" t="str">
        <f t="shared" si="111"/>
        <v/>
      </c>
      <c r="W89" s="116"/>
      <c r="X89" s="116"/>
      <c r="Y89" s="116"/>
      <c r="Z89" s="118" t="str">
        <f>IFERROR(IF(AND(S88="Probabilidad",S89="Probabilidad"),(AB88-(+AB88*V89)),IF(AND(S88="Impacto",S89="Probabilidad"),(AB87-(+AB87*V89)),IF(S89="Impacto",AB88,""))),"")</f>
        <v/>
      </c>
      <c r="AA89" s="119" t="str">
        <f t="shared" si="112"/>
        <v/>
      </c>
      <c r="AB89" s="117" t="str">
        <f t="shared" si="113"/>
        <v/>
      </c>
      <c r="AC89" s="119" t="str">
        <f t="shared" si="114"/>
        <v/>
      </c>
      <c r="AD89" s="117" t="str">
        <f>IFERROR(IF(AND(S88="Impacto",S89="Impacto"),(AD88-(+AD88*V89)),IF(AND(S88="Probabilidad",S89="Impacto"),(AD87-(+AD87*V89)),IF(S89="Probabilidad",AD88,""))),"")</f>
        <v/>
      </c>
      <c r="AE89" s="120" t="str">
        <f t="shared" si="115"/>
        <v/>
      </c>
      <c r="AF89" s="116"/>
      <c r="AG89" s="121"/>
      <c r="AH89" s="122"/>
      <c r="AI89" s="123"/>
      <c r="AJ89" s="123"/>
      <c r="AK89" s="121"/>
      <c r="AL89" s="122"/>
    </row>
    <row r="90" spans="1:38" x14ac:dyDescent="0.3">
      <c r="A90" s="216"/>
      <c r="B90" s="139"/>
      <c r="C90" s="139"/>
      <c r="D90" s="217"/>
      <c r="E90" s="212"/>
      <c r="F90" s="141"/>
      <c r="G90" s="217"/>
      <c r="H90" s="140"/>
      <c r="I90" s="218"/>
      <c r="J90" s="208"/>
      <c r="K90" s="209"/>
      <c r="L90" s="211"/>
      <c r="M90" s="209">
        <f t="shared" ca="1" si="110"/>
        <v>0</v>
      </c>
      <c r="N90" s="208"/>
      <c r="O90" s="209"/>
      <c r="P90" s="210"/>
      <c r="Q90" s="113">
        <v>4</v>
      </c>
      <c r="R90" s="114"/>
      <c r="S90" s="115" t="str">
        <f t="shared" ref="S90:S92" si="116">IF(OR(T90="Preventivo",T90="Detectivo"),"Probabilidad",IF(T90="Correctivo","Impacto",""))</f>
        <v/>
      </c>
      <c r="T90" s="116"/>
      <c r="U90" s="116"/>
      <c r="V90" s="117" t="str">
        <f t="shared" si="111"/>
        <v/>
      </c>
      <c r="W90" s="116"/>
      <c r="X90" s="116"/>
      <c r="Y90" s="116"/>
      <c r="Z90" s="118" t="str">
        <f t="shared" ref="Z90:Z92" si="117">IFERROR(IF(AND(S89="Probabilidad",S90="Probabilidad"),(AB89-(+AB89*V90)),IF(AND(S89="Impacto",S90="Probabilidad"),(AB88-(+AB88*V90)),IF(S90="Impacto",AB89,""))),"")</f>
        <v/>
      </c>
      <c r="AA90" s="119" t="str">
        <f t="shared" si="112"/>
        <v/>
      </c>
      <c r="AB90" s="117" t="str">
        <f t="shared" si="113"/>
        <v/>
      </c>
      <c r="AC90" s="119" t="str">
        <f t="shared" si="114"/>
        <v/>
      </c>
      <c r="AD90" s="117" t="str">
        <f t="shared" ref="AD90:AD92" si="118">IFERROR(IF(AND(S89="Impacto",S90="Impacto"),(AD89-(+AD89*V90)),IF(AND(S89="Probabilidad",S90="Impacto"),(AD88-(+AD88*V90)),IF(S90="Probabilidad",AD89,""))),"")</f>
        <v/>
      </c>
      <c r="AE90" s="120" t="str">
        <f>IFERROR(IF(OR(AND(AA90="Muy Baja",AC90="Leve"),AND(AA90="Muy Baja",AC90="Menor"),AND(AA90="Baja",AC90="Leve")),"Bajo",IF(OR(AND(AA90="Muy baja",AC90="Moderado"),AND(AA90="Baja",AC90="Menor"),AND(AA90="Baja",AC90="Moderado"),AND(AA90="Media",AC90="Leve"),AND(AA90="Media",AC90="Menor"),AND(AA90="Media",AC90="Moderado"),AND(AA90="Alta",AC90="Leve"),AND(AA90="Alta",AC90="Menor")),"Moderado",IF(OR(AND(AA90="Muy Baja",AC90="Mayor"),AND(AA90="Baja",AC90="Mayor"),AND(AA90="Media",AC90="Mayor"),AND(AA90="Alta",AC90="Moderado"),AND(AA90="Alta",AC90="Mayor"),AND(AA90="Muy Alta",AC90="Leve"),AND(AA90="Muy Alta",AC90="Menor"),AND(AA90="Muy Alta",AC90="Moderado"),AND(AA90="Muy Alta",AC90="Mayor")),"Alto",IF(OR(AND(AA90="Muy Baja",AC90="Catastrófico"),AND(AA90="Baja",AC90="Catastrófico"),AND(AA90="Media",AC90="Catastrófico"),AND(AA90="Alta",AC90="Catastrófico"),AND(AA90="Muy Alta",AC90="Catastrófico")),"Extremo","")))),"")</f>
        <v/>
      </c>
      <c r="AF90" s="116"/>
      <c r="AG90" s="121"/>
      <c r="AH90" s="122"/>
      <c r="AI90" s="123"/>
      <c r="AJ90" s="123"/>
      <c r="AK90" s="121"/>
      <c r="AL90" s="122"/>
    </row>
    <row r="91" spans="1:38" x14ac:dyDescent="0.3">
      <c r="A91" s="216"/>
      <c r="B91" s="139"/>
      <c r="C91" s="139"/>
      <c r="D91" s="217"/>
      <c r="E91" s="212"/>
      <c r="F91" s="141"/>
      <c r="G91" s="217"/>
      <c r="H91" s="140"/>
      <c r="I91" s="218"/>
      <c r="J91" s="208"/>
      <c r="K91" s="209"/>
      <c r="L91" s="211"/>
      <c r="M91" s="209">
        <f t="shared" ca="1" si="110"/>
        <v>0</v>
      </c>
      <c r="N91" s="208"/>
      <c r="O91" s="209"/>
      <c r="P91" s="210"/>
      <c r="Q91" s="113">
        <v>5</v>
      </c>
      <c r="R91" s="114"/>
      <c r="S91" s="115" t="str">
        <f t="shared" si="116"/>
        <v/>
      </c>
      <c r="T91" s="116"/>
      <c r="U91" s="116"/>
      <c r="V91" s="117" t="str">
        <f t="shared" si="111"/>
        <v/>
      </c>
      <c r="W91" s="116"/>
      <c r="X91" s="116"/>
      <c r="Y91" s="116"/>
      <c r="Z91" s="127" t="str">
        <f t="shared" si="117"/>
        <v/>
      </c>
      <c r="AA91" s="119" t="str">
        <f>IFERROR(IF(Z91="","",IF(Z91&lt;=0.2,"Muy Baja",IF(Z91&lt;=0.4,"Baja",IF(Z91&lt;=0.6,"Media",IF(Z91&lt;=0.8,"Alta","Muy Alta"))))),"")</f>
        <v/>
      </c>
      <c r="AB91" s="117" t="str">
        <f t="shared" si="113"/>
        <v/>
      </c>
      <c r="AC91" s="119" t="str">
        <f t="shared" si="114"/>
        <v/>
      </c>
      <c r="AD91" s="117" t="str">
        <f t="shared" si="118"/>
        <v/>
      </c>
      <c r="AE91" s="120" t="str">
        <f t="shared" ref="AE91:AE92" si="119">IFERROR(IF(OR(AND(AA91="Muy Baja",AC91="Leve"),AND(AA91="Muy Baja",AC91="Menor"),AND(AA91="Baja",AC91="Leve")),"Bajo",IF(OR(AND(AA91="Muy baja",AC91="Moderado"),AND(AA91="Baja",AC91="Menor"),AND(AA91="Baja",AC91="Moderado"),AND(AA91="Media",AC91="Leve"),AND(AA91="Media",AC91="Menor"),AND(AA91="Media",AC91="Moderado"),AND(AA91="Alta",AC91="Leve"),AND(AA91="Alta",AC91="Menor")),"Moderado",IF(OR(AND(AA91="Muy Baja",AC91="Mayor"),AND(AA91="Baja",AC91="Mayor"),AND(AA91="Media",AC91="Mayor"),AND(AA91="Alta",AC91="Moderado"),AND(AA91="Alta",AC91="Mayor"),AND(AA91="Muy Alta",AC91="Leve"),AND(AA91="Muy Alta",AC91="Menor"),AND(AA91="Muy Alta",AC91="Moderado"),AND(AA91="Muy Alta",AC91="Mayor")),"Alto",IF(OR(AND(AA91="Muy Baja",AC91="Catastrófico"),AND(AA91="Baja",AC91="Catastrófico"),AND(AA91="Media",AC91="Catastrófico"),AND(AA91="Alta",AC91="Catastrófico"),AND(AA91="Muy Alta",AC91="Catastrófico")),"Extremo","")))),"")</f>
        <v/>
      </c>
      <c r="AF91" s="116"/>
      <c r="AG91" s="121"/>
      <c r="AH91" s="122"/>
      <c r="AI91" s="123"/>
      <c r="AJ91" s="123"/>
      <c r="AK91" s="121"/>
      <c r="AL91" s="122"/>
    </row>
    <row r="92" spans="1:38" x14ac:dyDescent="0.3">
      <c r="A92" s="216"/>
      <c r="B92" s="139"/>
      <c r="C92" s="139"/>
      <c r="D92" s="217"/>
      <c r="E92" s="212"/>
      <c r="F92" s="141"/>
      <c r="G92" s="217"/>
      <c r="H92" s="140"/>
      <c r="I92" s="218"/>
      <c r="J92" s="208"/>
      <c r="K92" s="209"/>
      <c r="L92" s="211"/>
      <c r="M92" s="209">
        <f t="shared" ca="1" si="110"/>
        <v>0</v>
      </c>
      <c r="N92" s="208"/>
      <c r="O92" s="209"/>
      <c r="P92" s="210"/>
      <c r="Q92" s="113">
        <v>6</v>
      </c>
      <c r="R92" s="114"/>
      <c r="S92" s="115" t="str">
        <f t="shared" si="116"/>
        <v/>
      </c>
      <c r="T92" s="116"/>
      <c r="U92" s="116"/>
      <c r="V92" s="117" t="str">
        <f t="shared" si="111"/>
        <v/>
      </c>
      <c r="W92" s="116"/>
      <c r="X92" s="116"/>
      <c r="Y92" s="116"/>
      <c r="Z92" s="118" t="str">
        <f t="shared" si="117"/>
        <v/>
      </c>
      <c r="AA92" s="119" t="str">
        <f t="shared" ref="AA92" si="120">IFERROR(IF(Z92="","",IF(Z92&lt;=0.2,"Muy Baja",IF(Z92&lt;=0.4,"Baja",IF(Z92&lt;=0.6,"Media",IF(Z92&lt;=0.8,"Alta","Muy Alta"))))),"")</f>
        <v/>
      </c>
      <c r="AB92" s="117" t="str">
        <f t="shared" si="113"/>
        <v/>
      </c>
      <c r="AC92" s="119" t="str">
        <f t="shared" si="114"/>
        <v/>
      </c>
      <c r="AD92" s="117" t="str">
        <f t="shared" si="118"/>
        <v/>
      </c>
      <c r="AE92" s="120" t="str">
        <f t="shared" si="119"/>
        <v/>
      </c>
      <c r="AF92" s="116"/>
      <c r="AG92" s="121"/>
      <c r="AH92" s="122"/>
      <c r="AI92" s="123"/>
      <c r="AJ92" s="123"/>
      <c r="AK92" s="121"/>
      <c r="AL92" s="122"/>
    </row>
    <row r="93" spans="1:38" x14ac:dyDescent="0.3">
      <c r="A93" s="216">
        <v>5</v>
      </c>
      <c r="B93" s="139"/>
      <c r="C93" s="139"/>
      <c r="D93" s="217"/>
      <c r="E93" s="212"/>
      <c r="F93" s="141"/>
      <c r="G93" s="217"/>
      <c r="H93" s="140"/>
      <c r="I93" s="218"/>
      <c r="J93" s="208" t="str">
        <f>IF(I93&lt;=0,"",IF(I93&lt;=2,"Muy Baja",IF(I93&lt;=24,"Baja",IF(I93&lt;=500,"Media",IF(I93&lt;=5000,"Alta","Muy Alta")))))</f>
        <v/>
      </c>
      <c r="K93" s="209" t="str">
        <f>IF(J93="","",IF(J93="Muy Baja",0.2,IF(J93="Baja",0.4,IF(J93="Media",0.6,IF(J93="Alta",0.8,IF(J93="Muy Alta",1,))))))</f>
        <v/>
      </c>
      <c r="L93" s="211"/>
      <c r="M93" s="209">
        <f>IF(NOT(ISERROR(MATCH(L93,'Tabla Impacto'!$B$221:$B$223,0))),'Tabla Impacto'!$F$223&amp;"Por favor no seleccionar los criterios de impacto(Afectación Económica o presupuestal y Pérdida Reputacional)",L93)</f>
        <v>0</v>
      </c>
      <c r="N93" s="208" t="str">
        <f>IF(OR(M93='Tabla Impacto'!$C$11,M93='Tabla Impacto'!$D$11),"Leve",IF(OR(M93='Tabla Impacto'!$C$12,M93='Tabla Impacto'!$D$12),"Menor",IF(OR(M93='Tabla Impacto'!$C$13,M93='Tabla Impacto'!$D$13),"Moderado",IF(OR(M93='Tabla Impacto'!$C$14,M93='Tabla Impacto'!$D$14),"Mayor",IF(OR(M93='Tabla Impacto'!$C$15,M93='Tabla Impacto'!$D$15),"Catastrófico","")))))</f>
        <v/>
      </c>
      <c r="O93" s="209" t="str">
        <f>IF(N93="","",IF(N93="Leve",0.2,IF(N93="Menor",0.4,IF(N93="Moderado",0.6,IF(N93="Mayor",0.8,IF(N93="Catastrófico",1,))))))</f>
        <v/>
      </c>
      <c r="P93" s="210" t="str">
        <f>IF(OR(AND(J93="Muy Baja",N93="Leve"),AND(J93="Muy Baja",N93="Menor"),AND(J93="Baja",N93="Leve")),"Bajo",IF(OR(AND(J93="Muy baja",N93="Moderado"),AND(J93="Baja",N93="Menor"),AND(J93="Baja",N93="Moderado"),AND(J93="Media",N93="Leve"),AND(J93="Media",N93="Menor"),AND(J93="Media",N93="Moderado"),AND(J93="Alta",N93="Leve"),AND(J93="Alta",N93="Menor")),"Moderado",IF(OR(AND(J93="Muy Baja",N93="Mayor"),AND(J93="Baja",N93="Mayor"),AND(J93="Media",N93="Mayor"),AND(J93="Alta",N93="Moderado"),AND(J93="Alta",N93="Mayor"),AND(J93="Muy Alta",N93="Leve"),AND(J93="Muy Alta",N93="Menor"),AND(J93="Muy Alta",N93="Moderado"),AND(J93="Muy Alta",N93="Mayor")),"Alto",IF(OR(AND(J93="Muy Baja",N93="Catastrófico"),AND(J93="Baja",N93="Catastrófico"),AND(J93="Media",N93="Catastrófico"),AND(J93="Alta",N93="Catastrófico"),AND(J93="Muy Alta",N93="Catastrófico")),"Extremo",""))))</f>
        <v/>
      </c>
      <c r="Q93" s="113">
        <v>1</v>
      </c>
      <c r="R93" s="114"/>
      <c r="S93" s="115" t="str">
        <f>IF(OR(T93="Preventivo",T93="Detectivo"),"Probabilidad",IF(T93="Correctivo","Impacto",""))</f>
        <v/>
      </c>
      <c r="T93" s="116"/>
      <c r="U93" s="116"/>
      <c r="V93" s="117" t="str">
        <f>IF(AND(T93="Preventivo",U93="Automático"),"50%",IF(AND(T93="Preventivo",U93="Manual"),"40%",IF(AND(T93="Detectivo",U93="Automático"),"40%",IF(AND(T93="Detectivo",U93="Manual"),"30%",IF(AND(T93="Correctivo",U93="Automático"),"35%",IF(AND(T93="Correctivo",U93="Manual"),"25%",""))))))</f>
        <v/>
      </c>
      <c r="W93" s="116"/>
      <c r="X93" s="116"/>
      <c r="Y93" s="116"/>
      <c r="Z93" s="118" t="str">
        <f>IFERROR(IF(S93="Probabilidad",(K93-(+K93*V93)),IF(S93="Impacto",K93,"")),"")</f>
        <v/>
      </c>
      <c r="AA93" s="119" t="str">
        <f>IFERROR(IF(Z93="","",IF(Z93&lt;=0.2,"Muy Baja",IF(Z93&lt;=0.4,"Baja",IF(Z93&lt;=0.6,"Media",IF(Z93&lt;=0.8,"Alta","Muy Alta"))))),"")</f>
        <v/>
      </c>
      <c r="AB93" s="117" t="str">
        <f>+Z93</f>
        <v/>
      </c>
      <c r="AC93" s="119" t="str">
        <f>IFERROR(IF(AD93="","",IF(AD93&lt;=0.2,"Leve",IF(AD93&lt;=0.4,"Menor",IF(AD93&lt;=0.6,"Moderado",IF(AD93&lt;=0.8,"Mayor","Catastrófico"))))),"")</f>
        <v/>
      </c>
      <c r="AD93" s="117" t="str">
        <f>IFERROR(IF(S93="Impacto",(O93-(+O93*V93)),IF(S93="Probabilidad",O93,"")),"")</f>
        <v/>
      </c>
      <c r="AE93" s="120" t="str">
        <f>IFERROR(IF(OR(AND(AA93="Muy Baja",AC93="Leve"),AND(AA93="Muy Baja",AC93="Menor"),AND(AA93="Baja",AC93="Leve")),"Bajo",IF(OR(AND(AA93="Muy baja",AC93="Moderado"),AND(AA93="Baja",AC93="Menor"),AND(AA93="Baja",AC93="Moderado"),AND(AA93="Media",AC93="Leve"),AND(AA93="Media",AC93="Menor"),AND(AA93="Media",AC93="Moderado"),AND(AA93="Alta",AC93="Leve"),AND(AA93="Alta",AC93="Menor")),"Moderado",IF(OR(AND(AA93="Muy Baja",AC93="Mayor"),AND(AA93="Baja",AC93="Mayor"),AND(AA93="Media",AC93="Mayor"),AND(AA93="Alta",AC93="Moderado"),AND(AA93="Alta",AC93="Mayor"),AND(AA93="Muy Alta",AC93="Leve"),AND(AA93="Muy Alta",AC93="Menor"),AND(AA93="Muy Alta",AC93="Moderado"),AND(AA93="Muy Alta",AC93="Mayor")),"Alto",IF(OR(AND(AA93="Muy Baja",AC93="Catastrófico"),AND(AA93="Baja",AC93="Catastrófico"),AND(AA93="Media",AC93="Catastrófico"),AND(AA93="Alta",AC93="Catastrófico"),AND(AA93="Muy Alta",AC93="Catastrófico")),"Extremo","")))),"")</f>
        <v/>
      </c>
      <c r="AF93" s="116"/>
      <c r="AG93" s="121"/>
      <c r="AH93" s="122"/>
      <c r="AI93" s="123"/>
      <c r="AJ93" s="123"/>
      <c r="AK93" s="121"/>
      <c r="AL93" s="122"/>
    </row>
    <row r="94" spans="1:38" x14ac:dyDescent="0.3">
      <c r="A94" s="216"/>
      <c r="B94" s="139"/>
      <c r="C94" s="139"/>
      <c r="D94" s="217"/>
      <c r="E94" s="212"/>
      <c r="F94" s="141"/>
      <c r="G94" s="217"/>
      <c r="H94" s="140"/>
      <c r="I94" s="218"/>
      <c r="J94" s="208"/>
      <c r="K94" s="209"/>
      <c r="L94" s="211"/>
      <c r="M94" s="209">
        <f t="shared" ref="M94:M98" ca="1" si="121">IF(NOT(ISERROR(MATCH(L94,_xlfn.ANCHORARRAY(E105),0))),K107&amp;"Por favor no seleccionar los criterios de impacto",L94)</f>
        <v>0</v>
      </c>
      <c r="N94" s="208"/>
      <c r="O94" s="209"/>
      <c r="P94" s="210"/>
      <c r="Q94" s="113">
        <v>2</v>
      </c>
      <c r="R94" s="114"/>
      <c r="S94" s="115" t="str">
        <f>IF(OR(T94="Preventivo",T94="Detectivo"),"Probabilidad",IF(T94="Correctivo","Impacto",""))</f>
        <v/>
      </c>
      <c r="T94" s="116"/>
      <c r="U94" s="116"/>
      <c r="V94" s="117" t="str">
        <f t="shared" ref="V94:V98" si="122">IF(AND(T94="Preventivo",U94="Automático"),"50%",IF(AND(T94="Preventivo",U94="Manual"),"40%",IF(AND(T94="Detectivo",U94="Automático"),"40%",IF(AND(T94="Detectivo",U94="Manual"),"30%",IF(AND(T94="Correctivo",U94="Automático"),"35%",IF(AND(T94="Correctivo",U94="Manual"),"25%",""))))))</f>
        <v/>
      </c>
      <c r="W94" s="116"/>
      <c r="X94" s="116"/>
      <c r="Y94" s="116"/>
      <c r="Z94" s="118" t="str">
        <f>IFERROR(IF(AND(S93="Probabilidad",S94="Probabilidad"),(AB93-(+AB93*V94)),IF(S94="Probabilidad",(K93-(+K93*V94)),IF(S94="Impacto",AB93,""))),"")</f>
        <v/>
      </c>
      <c r="AA94" s="119" t="str">
        <f t="shared" ref="AA94:AA98" si="123">IFERROR(IF(Z94="","",IF(Z94&lt;=0.2,"Muy Baja",IF(Z94&lt;=0.4,"Baja",IF(Z94&lt;=0.6,"Media",IF(Z94&lt;=0.8,"Alta","Muy Alta"))))),"")</f>
        <v/>
      </c>
      <c r="AB94" s="117" t="str">
        <f t="shared" ref="AB94:AB98" si="124">+Z94</f>
        <v/>
      </c>
      <c r="AC94" s="119" t="str">
        <f t="shared" ref="AC94:AC98" si="125">IFERROR(IF(AD94="","",IF(AD94&lt;=0.2,"Leve",IF(AD94&lt;=0.4,"Menor",IF(AD94&lt;=0.6,"Moderado",IF(AD94&lt;=0.8,"Mayor","Catastrófico"))))),"")</f>
        <v/>
      </c>
      <c r="AD94" s="117" t="str">
        <f>IFERROR(IF(AND(S93="Impacto",S94="Impacto"),(AD87-(+AD87*V94)),IF(S94="Impacto",($O$33-(+$O$33*V94)),IF(S94="Probabilidad",AD87,""))),"")</f>
        <v/>
      </c>
      <c r="AE94" s="120" t="str">
        <f t="shared" ref="AE94:AE95" si="126">IFERROR(IF(OR(AND(AA94="Muy Baja",AC94="Leve"),AND(AA94="Muy Baja",AC94="Menor"),AND(AA94="Baja",AC94="Leve")),"Bajo",IF(OR(AND(AA94="Muy baja",AC94="Moderado"),AND(AA94="Baja",AC94="Menor"),AND(AA94="Baja",AC94="Moderado"),AND(AA94="Media",AC94="Leve"),AND(AA94="Media",AC94="Menor"),AND(AA94="Media",AC94="Moderado"),AND(AA94="Alta",AC94="Leve"),AND(AA94="Alta",AC94="Menor")),"Moderado",IF(OR(AND(AA94="Muy Baja",AC94="Mayor"),AND(AA94="Baja",AC94="Mayor"),AND(AA94="Media",AC94="Mayor"),AND(AA94="Alta",AC94="Moderado"),AND(AA94="Alta",AC94="Mayor"),AND(AA94="Muy Alta",AC94="Leve"),AND(AA94="Muy Alta",AC94="Menor"),AND(AA94="Muy Alta",AC94="Moderado"),AND(AA94="Muy Alta",AC94="Mayor")),"Alto",IF(OR(AND(AA94="Muy Baja",AC94="Catastrófico"),AND(AA94="Baja",AC94="Catastrófico"),AND(AA94="Media",AC94="Catastrófico"),AND(AA94="Alta",AC94="Catastrófico"),AND(AA94="Muy Alta",AC94="Catastrófico")),"Extremo","")))),"")</f>
        <v/>
      </c>
      <c r="AF94" s="116"/>
      <c r="AG94" s="121"/>
      <c r="AH94" s="122"/>
      <c r="AI94" s="123"/>
      <c r="AJ94" s="123"/>
      <c r="AK94" s="121"/>
      <c r="AL94" s="122"/>
    </row>
    <row r="95" spans="1:38" x14ac:dyDescent="0.3">
      <c r="A95" s="216"/>
      <c r="B95" s="139"/>
      <c r="C95" s="139"/>
      <c r="D95" s="217"/>
      <c r="E95" s="212"/>
      <c r="F95" s="141"/>
      <c r="G95" s="217"/>
      <c r="H95" s="140"/>
      <c r="I95" s="218"/>
      <c r="J95" s="208"/>
      <c r="K95" s="209"/>
      <c r="L95" s="211"/>
      <c r="M95" s="209">
        <f t="shared" ca="1" si="121"/>
        <v>0</v>
      </c>
      <c r="N95" s="208"/>
      <c r="O95" s="209"/>
      <c r="P95" s="210"/>
      <c r="Q95" s="113">
        <v>3</v>
      </c>
      <c r="R95" s="126"/>
      <c r="S95" s="115" t="str">
        <f>IF(OR(T95="Preventivo",T95="Detectivo"),"Probabilidad",IF(T95="Correctivo","Impacto",""))</f>
        <v/>
      </c>
      <c r="T95" s="116"/>
      <c r="U95" s="116"/>
      <c r="V95" s="117" t="str">
        <f t="shared" si="122"/>
        <v/>
      </c>
      <c r="W95" s="116"/>
      <c r="X95" s="116"/>
      <c r="Y95" s="116"/>
      <c r="Z95" s="118" t="str">
        <f>IFERROR(IF(AND(S94="Probabilidad",S95="Probabilidad"),(AB94-(+AB94*V95)),IF(AND(S94="Impacto",S95="Probabilidad"),(AB93-(+AB93*V95)),IF(S95="Impacto",AB94,""))),"")</f>
        <v/>
      </c>
      <c r="AA95" s="119" t="str">
        <f t="shared" si="123"/>
        <v/>
      </c>
      <c r="AB95" s="117" t="str">
        <f t="shared" si="124"/>
        <v/>
      </c>
      <c r="AC95" s="119" t="str">
        <f t="shared" si="125"/>
        <v/>
      </c>
      <c r="AD95" s="117" t="str">
        <f>IFERROR(IF(AND(S94="Impacto",S95="Impacto"),(AD94-(+AD94*V95)),IF(AND(S94="Probabilidad",S95="Impacto"),(AD93-(+AD93*V95)),IF(S95="Probabilidad",AD94,""))),"")</f>
        <v/>
      </c>
      <c r="AE95" s="120" t="str">
        <f t="shared" si="126"/>
        <v/>
      </c>
      <c r="AF95" s="116"/>
      <c r="AG95" s="121"/>
      <c r="AH95" s="122"/>
      <c r="AI95" s="123"/>
      <c r="AJ95" s="123"/>
      <c r="AK95" s="121"/>
      <c r="AL95" s="122"/>
    </row>
    <row r="96" spans="1:38" x14ac:dyDescent="0.3">
      <c r="A96" s="216"/>
      <c r="B96" s="139"/>
      <c r="C96" s="139"/>
      <c r="D96" s="217"/>
      <c r="E96" s="212"/>
      <c r="F96" s="141"/>
      <c r="G96" s="217"/>
      <c r="H96" s="140"/>
      <c r="I96" s="218"/>
      <c r="J96" s="208"/>
      <c r="K96" s="209"/>
      <c r="L96" s="211"/>
      <c r="M96" s="209">
        <f t="shared" ca="1" si="121"/>
        <v>0</v>
      </c>
      <c r="N96" s="208"/>
      <c r="O96" s="209"/>
      <c r="P96" s="210"/>
      <c r="Q96" s="113">
        <v>4</v>
      </c>
      <c r="R96" s="114"/>
      <c r="S96" s="115" t="str">
        <f t="shared" ref="S96:S98" si="127">IF(OR(T96="Preventivo",T96="Detectivo"),"Probabilidad",IF(T96="Correctivo","Impacto",""))</f>
        <v/>
      </c>
      <c r="T96" s="116"/>
      <c r="U96" s="116"/>
      <c r="V96" s="117" t="str">
        <f t="shared" si="122"/>
        <v/>
      </c>
      <c r="W96" s="116"/>
      <c r="X96" s="116"/>
      <c r="Y96" s="116"/>
      <c r="Z96" s="118" t="str">
        <f t="shared" ref="Z96:Z98" si="128">IFERROR(IF(AND(S95="Probabilidad",S96="Probabilidad"),(AB95-(+AB95*V96)),IF(AND(S95="Impacto",S96="Probabilidad"),(AB94-(+AB94*V96)),IF(S96="Impacto",AB95,""))),"")</f>
        <v/>
      </c>
      <c r="AA96" s="119" t="str">
        <f t="shared" si="123"/>
        <v/>
      </c>
      <c r="AB96" s="117" t="str">
        <f t="shared" si="124"/>
        <v/>
      </c>
      <c r="AC96" s="119" t="str">
        <f t="shared" si="125"/>
        <v/>
      </c>
      <c r="AD96" s="117" t="str">
        <f t="shared" ref="AD96:AD98" si="129">IFERROR(IF(AND(S95="Impacto",S96="Impacto"),(AD95-(+AD95*V96)),IF(AND(S95="Probabilidad",S96="Impacto"),(AD94-(+AD94*V96)),IF(S96="Probabilidad",AD95,""))),"")</f>
        <v/>
      </c>
      <c r="AE96" s="120" t="str">
        <f>IFERROR(IF(OR(AND(AA96="Muy Baja",AC96="Leve"),AND(AA96="Muy Baja",AC96="Menor"),AND(AA96="Baja",AC96="Leve")),"Bajo",IF(OR(AND(AA96="Muy baja",AC96="Moderado"),AND(AA96="Baja",AC96="Menor"),AND(AA96="Baja",AC96="Moderado"),AND(AA96="Media",AC96="Leve"),AND(AA96="Media",AC96="Menor"),AND(AA96="Media",AC96="Moderado"),AND(AA96="Alta",AC96="Leve"),AND(AA96="Alta",AC96="Menor")),"Moderado",IF(OR(AND(AA96="Muy Baja",AC96="Mayor"),AND(AA96="Baja",AC96="Mayor"),AND(AA96="Media",AC96="Mayor"),AND(AA96="Alta",AC96="Moderado"),AND(AA96="Alta",AC96="Mayor"),AND(AA96="Muy Alta",AC96="Leve"),AND(AA96="Muy Alta",AC96="Menor"),AND(AA96="Muy Alta",AC96="Moderado"),AND(AA96="Muy Alta",AC96="Mayor")),"Alto",IF(OR(AND(AA96="Muy Baja",AC96="Catastrófico"),AND(AA96="Baja",AC96="Catastrófico"),AND(AA96="Media",AC96="Catastrófico"),AND(AA96="Alta",AC96="Catastrófico"),AND(AA96="Muy Alta",AC96="Catastrófico")),"Extremo","")))),"")</f>
        <v/>
      </c>
      <c r="AF96" s="116"/>
      <c r="AG96" s="121"/>
      <c r="AH96" s="122"/>
      <c r="AI96" s="123"/>
      <c r="AJ96" s="123"/>
      <c r="AK96" s="121"/>
      <c r="AL96" s="122"/>
    </row>
    <row r="97" spans="1:38" x14ac:dyDescent="0.3">
      <c r="A97" s="216"/>
      <c r="B97" s="139"/>
      <c r="C97" s="139"/>
      <c r="D97" s="217"/>
      <c r="E97" s="212"/>
      <c r="F97" s="141"/>
      <c r="G97" s="217"/>
      <c r="H97" s="140"/>
      <c r="I97" s="218"/>
      <c r="J97" s="208"/>
      <c r="K97" s="209"/>
      <c r="L97" s="211"/>
      <c r="M97" s="209">
        <f t="shared" ca="1" si="121"/>
        <v>0</v>
      </c>
      <c r="N97" s="208"/>
      <c r="O97" s="209"/>
      <c r="P97" s="210"/>
      <c r="Q97" s="113">
        <v>5</v>
      </c>
      <c r="R97" s="114"/>
      <c r="S97" s="115" t="str">
        <f t="shared" si="127"/>
        <v/>
      </c>
      <c r="T97" s="116"/>
      <c r="U97" s="116"/>
      <c r="V97" s="117" t="str">
        <f t="shared" si="122"/>
        <v/>
      </c>
      <c r="W97" s="116"/>
      <c r="X97" s="116"/>
      <c r="Y97" s="116"/>
      <c r="Z97" s="118" t="str">
        <f t="shared" si="128"/>
        <v/>
      </c>
      <c r="AA97" s="119" t="str">
        <f t="shared" si="123"/>
        <v/>
      </c>
      <c r="AB97" s="117" t="str">
        <f t="shared" si="124"/>
        <v/>
      </c>
      <c r="AC97" s="119" t="str">
        <f t="shared" si="125"/>
        <v/>
      </c>
      <c r="AD97" s="117" t="str">
        <f t="shared" si="129"/>
        <v/>
      </c>
      <c r="AE97" s="120" t="str">
        <f t="shared" ref="AE97:AE98" si="130">IFERROR(IF(OR(AND(AA97="Muy Baja",AC97="Leve"),AND(AA97="Muy Baja",AC97="Menor"),AND(AA97="Baja",AC97="Leve")),"Bajo",IF(OR(AND(AA97="Muy baja",AC97="Moderado"),AND(AA97="Baja",AC97="Menor"),AND(AA97="Baja",AC97="Moderado"),AND(AA97="Media",AC97="Leve"),AND(AA97="Media",AC97="Menor"),AND(AA97="Media",AC97="Moderado"),AND(AA97="Alta",AC97="Leve"),AND(AA97="Alta",AC97="Menor")),"Moderado",IF(OR(AND(AA97="Muy Baja",AC97="Mayor"),AND(AA97="Baja",AC97="Mayor"),AND(AA97="Media",AC97="Mayor"),AND(AA97="Alta",AC97="Moderado"),AND(AA97="Alta",AC97="Mayor"),AND(AA97="Muy Alta",AC97="Leve"),AND(AA97="Muy Alta",AC97="Menor"),AND(AA97="Muy Alta",AC97="Moderado"),AND(AA97="Muy Alta",AC97="Mayor")),"Alto",IF(OR(AND(AA97="Muy Baja",AC97="Catastrófico"),AND(AA97="Baja",AC97="Catastrófico"),AND(AA97="Media",AC97="Catastrófico"),AND(AA97="Alta",AC97="Catastrófico"),AND(AA97="Muy Alta",AC97="Catastrófico")),"Extremo","")))),"")</f>
        <v/>
      </c>
      <c r="AF97" s="116"/>
      <c r="AG97" s="121"/>
      <c r="AH97" s="122"/>
      <c r="AI97" s="123"/>
      <c r="AJ97" s="123"/>
      <c r="AK97" s="121"/>
      <c r="AL97" s="122"/>
    </row>
    <row r="98" spans="1:38" x14ac:dyDescent="0.3">
      <c r="A98" s="216"/>
      <c r="B98" s="139"/>
      <c r="C98" s="139"/>
      <c r="D98" s="217"/>
      <c r="E98" s="212"/>
      <c r="F98" s="141"/>
      <c r="G98" s="217"/>
      <c r="H98" s="140"/>
      <c r="I98" s="218"/>
      <c r="J98" s="208"/>
      <c r="K98" s="209"/>
      <c r="L98" s="211"/>
      <c r="M98" s="209">
        <f t="shared" ca="1" si="121"/>
        <v>0</v>
      </c>
      <c r="N98" s="208"/>
      <c r="O98" s="209"/>
      <c r="P98" s="210"/>
      <c r="Q98" s="113">
        <v>6</v>
      </c>
      <c r="R98" s="114"/>
      <c r="S98" s="115" t="str">
        <f t="shared" si="127"/>
        <v/>
      </c>
      <c r="T98" s="116"/>
      <c r="U98" s="116"/>
      <c r="V98" s="117" t="str">
        <f t="shared" si="122"/>
        <v/>
      </c>
      <c r="W98" s="116"/>
      <c r="X98" s="116"/>
      <c r="Y98" s="116"/>
      <c r="Z98" s="118" t="str">
        <f t="shared" si="128"/>
        <v/>
      </c>
      <c r="AA98" s="119" t="str">
        <f t="shared" si="123"/>
        <v/>
      </c>
      <c r="AB98" s="117" t="str">
        <f t="shared" si="124"/>
        <v/>
      </c>
      <c r="AC98" s="119" t="str">
        <f t="shared" si="125"/>
        <v/>
      </c>
      <c r="AD98" s="117" t="str">
        <f t="shared" si="129"/>
        <v/>
      </c>
      <c r="AE98" s="120" t="str">
        <f t="shared" si="130"/>
        <v/>
      </c>
      <c r="AF98" s="116"/>
      <c r="AG98" s="121"/>
      <c r="AH98" s="122"/>
      <c r="AI98" s="123"/>
      <c r="AJ98" s="123"/>
      <c r="AK98" s="121"/>
      <c r="AL98" s="122"/>
    </row>
    <row r="99" spans="1:38" x14ac:dyDescent="0.3">
      <c r="A99" s="216">
        <v>6</v>
      </c>
      <c r="B99" s="139"/>
      <c r="C99" s="139"/>
      <c r="D99" s="217"/>
      <c r="E99" s="212"/>
      <c r="F99" s="141"/>
      <c r="G99" s="217"/>
      <c r="H99" s="140"/>
      <c r="I99" s="218"/>
      <c r="J99" s="208" t="str">
        <f>IF(I99&lt;=0,"",IF(I99&lt;=2,"Muy Baja",IF(I99&lt;=24,"Baja",IF(I99&lt;=500,"Media",IF(I99&lt;=5000,"Alta","Muy Alta")))))</f>
        <v/>
      </c>
      <c r="K99" s="209" t="str">
        <f>IF(J99="","",IF(J99="Muy Baja",0.2,IF(J99="Baja",0.4,IF(J99="Media",0.6,IF(J99="Alta",0.8,IF(J99="Muy Alta",1,))))))</f>
        <v/>
      </c>
      <c r="L99" s="211"/>
      <c r="M99" s="209">
        <f>IF(NOT(ISERROR(MATCH(L99,'Tabla Impacto'!$B$221:$B$223,0))),'Tabla Impacto'!$F$223&amp;"Por favor no seleccionar los criterios de impacto(Afectación Económica o presupuestal y Pérdida Reputacional)",L99)</f>
        <v>0</v>
      </c>
      <c r="N99" s="208" t="str">
        <f>IF(OR(M99='Tabla Impacto'!$C$11,M99='Tabla Impacto'!$D$11),"Leve",IF(OR(M99='Tabla Impacto'!$C$12,M99='Tabla Impacto'!$D$12),"Menor",IF(OR(M99='Tabla Impacto'!$C$13,M99='Tabla Impacto'!$D$13),"Moderado",IF(OR(M99='Tabla Impacto'!$C$14,M99='Tabla Impacto'!$D$14),"Mayor",IF(OR(M99='Tabla Impacto'!$C$15,M99='Tabla Impacto'!$D$15),"Catastrófico","")))))</f>
        <v/>
      </c>
      <c r="O99" s="209" t="str">
        <f>IF(N99="","",IF(N99="Leve",0.2,IF(N99="Menor",0.4,IF(N99="Moderado",0.6,IF(N99="Mayor",0.8,IF(N99="Catastrófico",1,))))))</f>
        <v/>
      </c>
      <c r="P99" s="210" t="str">
        <f>IF(OR(AND(J99="Muy Baja",N99="Leve"),AND(J99="Muy Baja",N99="Menor"),AND(J99="Baja",N99="Leve")),"Bajo",IF(OR(AND(J99="Muy baja",N99="Moderado"),AND(J99="Baja",N99="Menor"),AND(J99="Baja",N99="Moderado"),AND(J99="Media",N99="Leve"),AND(J99="Media",N99="Menor"),AND(J99="Media",N99="Moderado"),AND(J99="Alta",N99="Leve"),AND(J99="Alta",N99="Menor")),"Moderado",IF(OR(AND(J99="Muy Baja",N99="Mayor"),AND(J99="Baja",N99="Mayor"),AND(J99="Media",N99="Mayor"),AND(J99="Alta",N99="Moderado"),AND(J99="Alta",N99="Mayor"),AND(J99="Muy Alta",N99="Leve"),AND(J99="Muy Alta",N99="Menor"),AND(J99="Muy Alta",N99="Moderado"),AND(J99="Muy Alta",N99="Mayor")),"Alto",IF(OR(AND(J99="Muy Baja",N99="Catastrófico"),AND(J99="Baja",N99="Catastrófico"),AND(J99="Media",N99="Catastrófico"),AND(J99="Alta",N99="Catastrófico"),AND(J99="Muy Alta",N99="Catastrófico")),"Extremo",""))))</f>
        <v/>
      </c>
      <c r="Q99" s="113">
        <v>1</v>
      </c>
      <c r="R99" s="114"/>
      <c r="S99" s="115" t="str">
        <f>IF(OR(T99="Preventivo",T99="Detectivo"),"Probabilidad",IF(T99="Correctivo","Impacto",""))</f>
        <v/>
      </c>
      <c r="T99" s="116"/>
      <c r="U99" s="116"/>
      <c r="V99" s="117" t="str">
        <f>IF(AND(T99="Preventivo",U99="Automático"),"50%",IF(AND(T99="Preventivo",U99="Manual"),"40%",IF(AND(T99="Detectivo",U99="Automático"),"40%",IF(AND(T99="Detectivo",U99="Manual"),"30%",IF(AND(T99="Correctivo",U99="Automático"),"35%",IF(AND(T99="Correctivo",U99="Manual"),"25%",""))))))</f>
        <v/>
      </c>
      <c r="W99" s="116"/>
      <c r="X99" s="116"/>
      <c r="Y99" s="116"/>
      <c r="Z99" s="118" t="str">
        <f>IFERROR(IF(S99="Probabilidad",(K99-(+K99*V99)),IF(S99="Impacto",K99,"")),"")</f>
        <v/>
      </c>
      <c r="AA99" s="119" t="str">
        <f>IFERROR(IF(Z99="","",IF(Z99&lt;=0.2,"Muy Baja",IF(Z99&lt;=0.4,"Baja",IF(Z99&lt;=0.6,"Media",IF(Z99&lt;=0.8,"Alta","Muy Alta"))))),"")</f>
        <v/>
      </c>
      <c r="AB99" s="117" t="str">
        <f>+Z99</f>
        <v/>
      </c>
      <c r="AC99" s="119" t="str">
        <f>IFERROR(IF(AD99="","",IF(AD99&lt;=0.2,"Leve",IF(AD99&lt;=0.4,"Menor",IF(AD99&lt;=0.6,"Moderado",IF(AD99&lt;=0.8,"Mayor","Catastrófico"))))),"")</f>
        <v/>
      </c>
      <c r="AD99" s="117" t="str">
        <f>IFERROR(IF(S99="Impacto",(O99-(+O99*V99)),IF(S99="Probabilidad",O99,"")),"")</f>
        <v/>
      </c>
      <c r="AE99" s="120" t="str">
        <f>IFERROR(IF(OR(AND(AA99="Muy Baja",AC99="Leve"),AND(AA99="Muy Baja",AC99="Menor"),AND(AA99="Baja",AC99="Leve")),"Bajo",IF(OR(AND(AA99="Muy baja",AC99="Moderado"),AND(AA99="Baja",AC99="Menor"),AND(AA99="Baja",AC99="Moderado"),AND(AA99="Media",AC99="Leve"),AND(AA99="Media",AC99="Menor"),AND(AA99="Media",AC99="Moderado"),AND(AA99="Alta",AC99="Leve"),AND(AA99="Alta",AC99="Menor")),"Moderado",IF(OR(AND(AA99="Muy Baja",AC99="Mayor"),AND(AA99="Baja",AC99="Mayor"),AND(AA99="Media",AC99="Mayor"),AND(AA99="Alta",AC99="Moderado"),AND(AA99="Alta",AC99="Mayor"),AND(AA99="Muy Alta",AC99="Leve"),AND(AA99="Muy Alta",AC99="Menor"),AND(AA99="Muy Alta",AC99="Moderado"),AND(AA99="Muy Alta",AC99="Mayor")),"Alto",IF(OR(AND(AA99="Muy Baja",AC99="Catastrófico"),AND(AA99="Baja",AC99="Catastrófico"),AND(AA99="Media",AC99="Catastrófico"),AND(AA99="Alta",AC99="Catastrófico"),AND(AA99="Muy Alta",AC99="Catastrófico")),"Extremo","")))),"")</f>
        <v/>
      </c>
      <c r="AF99" s="116"/>
      <c r="AG99" s="121"/>
      <c r="AH99" s="122"/>
      <c r="AI99" s="123"/>
      <c r="AJ99" s="123"/>
      <c r="AK99" s="121"/>
      <c r="AL99" s="122"/>
    </row>
    <row r="100" spans="1:38" x14ac:dyDescent="0.3">
      <c r="A100" s="216"/>
      <c r="B100" s="139"/>
      <c r="C100" s="139"/>
      <c r="D100" s="217"/>
      <c r="E100" s="212"/>
      <c r="F100" s="141"/>
      <c r="G100" s="217"/>
      <c r="H100" s="140"/>
      <c r="I100" s="218"/>
      <c r="J100" s="208"/>
      <c r="K100" s="209"/>
      <c r="L100" s="211"/>
      <c r="M100" s="209">
        <f t="shared" ref="M100:M104" ca="1" si="131">IF(NOT(ISERROR(MATCH(L100,_xlfn.ANCHORARRAY(E111),0))),K113&amp;"Por favor no seleccionar los criterios de impacto",L100)</f>
        <v>0</v>
      </c>
      <c r="N100" s="208"/>
      <c r="O100" s="209"/>
      <c r="P100" s="210"/>
      <c r="Q100" s="113">
        <v>2</v>
      </c>
      <c r="R100" s="114"/>
      <c r="S100" s="115" t="str">
        <f>IF(OR(T100="Preventivo",T100="Detectivo"),"Probabilidad",IF(T100="Correctivo","Impacto",""))</f>
        <v/>
      </c>
      <c r="T100" s="116"/>
      <c r="U100" s="116"/>
      <c r="V100" s="117" t="str">
        <f t="shared" ref="V100:V104" si="132">IF(AND(T100="Preventivo",U100="Automático"),"50%",IF(AND(T100="Preventivo",U100="Manual"),"40%",IF(AND(T100="Detectivo",U100="Automático"),"40%",IF(AND(T100="Detectivo",U100="Manual"),"30%",IF(AND(T100="Correctivo",U100="Automático"),"35%",IF(AND(T100="Correctivo",U100="Manual"),"25%",""))))))</f>
        <v/>
      </c>
      <c r="W100" s="116"/>
      <c r="X100" s="116"/>
      <c r="Y100" s="116"/>
      <c r="Z100" s="118" t="str">
        <f>IFERROR(IF(AND(S99="Probabilidad",S100="Probabilidad"),(AB99-(+AB99*V100)),IF(S100="Probabilidad",(K99-(+K99*V100)),IF(S100="Impacto",AB99,""))),"")</f>
        <v/>
      </c>
      <c r="AA100" s="119" t="str">
        <f t="shared" ref="AA100:AA104" si="133">IFERROR(IF(Z100="","",IF(Z100&lt;=0.2,"Muy Baja",IF(Z100&lt;=0.4,"Baja",IF(Z100&lt;=0.6,"Media",IF(Z100&lt;=0.8,"Alta","Muy Alta"))))),"")</f>
        <v/>
      </c>
      <c r="AB100" s="117" t="str">
        <f t="shared" ref="AB100:AB104" si="134">+Z100</f>
        <v/>
      </c>
      <c r="AC100" s="119" t="str">
        <f t="shared" ref="AC100:AC103" si="135">IFERROR(IF(AD100="","",IF(AD100&lt;=0.2,"Leve",IF(AD100&lt;=0.4,"Menor",IF(AD100&lt;=0.6,"Moderado",IF(AD100&lt;=0.8,"Mayor","Catastrófico"))))),"")</f>
        <v/>
      </c>
      <c r="AD100" s="117" t="str">
        <f>IFERROR(IF(AND(S99="Impacto",S100="Impacto"),(AD93-(+AD93*V100)),IF(S100="Impacto",($O$39-(+$O$39*V100)),IF(S100="Probabilidad",AD93,""))),"")</f>
        <v/>
      </c>
      <c r="AE100" s="120" t="str">
        <f t="shared" ref="AE100:AE101" si="136">IFERROR(IF(OR(AND(AA100="Muy Baja",AC100="Leve"),AND(AA100="Muy Baja",AC100="Menor"),AND(AA100="Baja",AC100="Leve")),"Bajo",IF(OR(AND(AA100="Muy baja",AC100="Moderado"),AND(AA100="Baja",AC100="Menor"),AND(AA100="Baja",AC100="Moderado"),AND(AA100="Media",AC100="Leve"),AND(AA100="Media",AC100="Menor"),AND(AA100="Media",AC100="Moderado"),AND(AA100="Alta",AC100="Leve"),AND(AA100="Alta",AC100="Menor")),"Moderado",IF(OR(AND(AA100="Muy Baja",AC100="Mayor"),AND(AA100="Baja",AC100="Mayor"),AND(AA100="Media",AC100="Mayor"),AND(AA100="Alta",AC100="Moderado"),AND(AA100="Alta",AC100="Mayor"),AND(AA100="Muy Alta",AC100="Leve"),AND(AA100="Muy Alta",AC100="Menor"),AND(AA100="Muy Alta",AC100="Moderado"),AND(AA100="Muy Alta",AC100="Mayor")),"Alto",IF(OR(AND(AA100="Muy Baja",AC100="Catastrófico"),AND(AA100="Baja",AC100="Catastrófico"),AND(AA100="Media",AC100="Catastrófico"),AND(AA100="Alta",AC100="Catastrófico"),AND(AA100="Muy Alta",AC100="Catastrófico")),"Extremo","")))),"")</f>
        <v/>
      </c>
      <c r="AF100" s="116"/>
      <c r="AG100" s="121"/>
      <c r="AH100" s="122"/>
      <c r="AI100" s="123"/>
      <c r="AJ100" s="123"/>
      <c r="AK100" s="121"/>
      <c r="AL100" s="122"/>
    </row>
    <row r="101" spans="1:38" x14ac:dyDescent="0.3">
      <c r="A101" s="216"/>
      <c r="B101" s="139"/>
      <c r="C101" s="139"/>
      <c r="D101" s="217"/>
      <c r="E101" s="212"/>
      <c r="F101" s="141"/>
      <c r="G101" s="217"/>
      <c r="H101" s="140"/>
      <c r="I101" s="218"/>
      <c r="J101" s="208"/>
      <c r="K101" s="209"/>
      <c r="L101" s="211"/>
      <c r="M101" s="209">
        <f t="shared" ca="1" si="131"/>
        <v>0</v>
      </c>
      <c r="N101" s="208"/>
      <c r="O101" s="209"/>
      <c r="P101" s="210"/>
      <c r="Q101" s="113">
        <v>3</v>
      </c>
      <c r="R101" s="126"/>
      <c r="S101" s="115" t="str">
        <f>IF(OR(T101="Preventivo",T101="Detectivo"),"Probabilidad",IF(T101="Correctivo","Impacto",""))</f>
        <v/>
      </c>
      <c r="T101" s="116"/>
      <c r="U101" s="116"/>
      <c r="V101" s="117" t="str">
        <f t="shared" si="132"/>
        <v/>
      </c>
      <c r="W101" s="116"/>
      <c r="X101" s="116"/>
      <c r="Y101" s="116"/>
      <c r="Z101" s="118" t="str">
        <f>IFERROR(IF(AND(S100="Probabilidad",S101="Probabilidad"),(AB100-(+AB100*V101)),IF(AND(S100="Impacto",S101="Probabilidad"),(AB99-(+AB99*V101)),IF(S101="Impacto",AB100,""))),"")</f>
        <v/>
      </c>
      <c r="AA101" s="119" t="str">
        <f t="shared" si="133"/>
        <v/>
      </c>
      <c r="AB101" s="117" t="str">
        <f t="shared" si="134"/>
        <v/>
      </c>
      <c r="AC101" s="119" t="str">
        <f t="shared" si="135"/>
        <v/>
      </c>
      <c r="AD101" s="117" t="str">
        <f>IFERROR(IF(AND(S100="Impacto",S101="Impacto"),(AD100-(+AD100*V101)),IF(AND(S100="Probabilidad",S101="Impacto"),(AD99-(+AD99*V101)),IF(S101="Probabilidad",AD100,""))),"")</f>
        <v/>
      </c>
      <c r="AE101" s="120" t="str">
        <f t="shared" si="136"/>
        <v/>
      </c>
      <c r="AF101" s="116"/>
      <c r="AG101" s="121"/>
      <c r="AH101" s="122"/>
      <c r="AI101" s="123"/>
      <c r="AJ101" s="123"/>
      <c r="AK101" s="121"/>
      <c r="AL101" s="122"/>
    </row>
    <row r="102" spans="1:38" x14ac:dyDescent="0.3">
      <c r="A102" s="216"/>
      <c r="B102" s="139"/>
      <c r="C102" s="139"/>
      <c r="D102" s="217"/>
      <c r="E102" s="212"/>
      <c r="F102" s="141"/>
      <c r="G102" s="217"/>
      <c r="H102" s="140"/>
      <c r="I102" s="218"/>
      <c r="J102" s="208"/>
      <c r="K102" s="209"/>
      <c r="L102" s="211"/>
      <c r="M102" s="209">
        <f t="shared" ca="1" si="131"/>
        <v>0</v>
      </c>
      <c r="N102" s="208"/>
      <c r="O102" s="209"/>
      <c r="P102" s="210"/>
      <c r="Q102" s="113">
        <v>4</v>
      </c>
      <c r="R102" s="114"/>
      <c r="S102" s="115" t="str">
        <f t="shared" ref="S102:S104" si="137">IF(OR(T102="Preventivo",T102="Detectivo"),"Probabilidad",IF(T102="Correctivo","Impacto",""))</f>
        <v/>
      </c>
      <c r="T102" s="116"/>
      <c r="U102" s="116"/>
      <c r="V102" s="117" t="str">
        <f t="shared" si="132"/>
        <v/>
      </c>
      <c r="W102" s="116"/>
      <c r="X102" s="116"/>
      <c r="Y102" s="116"/>
      <c r="Z102" s="118" t="str">
        <f t="shared" ref="Z102:Z104" si="138">IFERROR(IF(AND(S101="Probabilidad",S102="Probabilidad"),(AB101-(+AB101*V102)),IF(AND(S101="Impacto",S102="Probabilidad"),(AB100-(+AB100*V102)),IF(S102="Impacto",AB101,""))),"")</f>
        <v/>
      </c>
      <c r="AA102" s="119" t="str">
        <f t="shared" si="133"/>
        <v/>
      </c>
      <c r="AB102" s="117" t="str">
        <f t="shared" si="134"/>
        <v/>
      </c>
      <c r="AC102" s="119" t="str">
        <f t="shared" si="135"/>
        <v/>
      </c>
      <c r="AD102" s="117" t="str">
        <f t="shared" ref="AD102:AD104" si="139">IFERROR(IF(AND(S101="Impacto",S102="Impacto"),(AD101-(+AD101*V102)),IF(AND(S101="Probabilidad",S102="Impacto"),(AD100-(+AD100*V102)),IF(S102="Probabilidad",AD101,""))),"")</f>
        <v/>
      </c>
      <c r="AE102" s="120" t="str">
        <f>IFERROR(IF(OR(AND(AA102="Muy Baja",AC102="Leve"),AND(AA102="Muy Baja",AC102="Menor"),AND(AA102="Baja",AC102="Leve")),"Bajo",IF(OR(AND(AA102="Muy baja",AC102="Moderado"),AND(AA102="Baja",AC102="Menor"),AND(AA102="Baja",AC102="Moderado"),AND(AA102="Media",AC102="Leve"),AND(AA102="Media",AC102="Menor"),AND(AA102="Media",AC102="Moderado"),AND(AA102="Alta",AC102="Leve"),AND(AA102="Alta",AC102="Menor")),"Moderado",IF(OR(AND(AA102="Muy Baja",AC102="Mayor"),AND(AA102="Baja",AC102="Mayor"),AND(AA102="Media",AC102="Mayor"),AND(AA102="Alta",AC102="Moderado"),AND(AA102="Alta",AC102="Mayor"),AND(AA102="Muy Alta",AC102="Leve"),AND(AA102="Muy Alta",AC102="Menor"),AND(AA102="Muy Alta",AC102="Moderado"),AND(AA102="Muy Alta",AC102="Mayor")),"Alto",IF(OR(AND(AA102="Muy Baja",AC102="Catastrófico"),AND(AA102="Baja",AC102="Catastrófico"),AND(AA102="Media",AC102="Catastrófico"),AND(AA102="Alta",AC102="Catastrófico"),AND(AA102="Muy Alta",AC102="Catastrófico")),"Extremo","")))),"")</f>
        <v/>
      </c>
      <c r="AF102" s="116"/>
      <c r="AG102" s="121"/>
      <c r="AH102" s="122"/>
      <c r="AI102" s="123"/>
      <c r="AJ102" s="123"/>
      <c r="AK102" s="121"/>
      <c r="AL102" s="122"/>
    </row>
    <row r="103" spans="1:38" x14ac:dyDescent="0.3">
      <c r="A103" s="216"/>
      <c r="B103" s="139"/>
      <c r="C103" s="139"/>
      <c r="D103" s="217"/>
      <c r="E103" s="212"/>
      <c r="F103" s="141"/>
      <c r="G103" s="217"/>
      <c r="H103" s="140"/>
      <c r="I103" s="218"/>
      <c r="J103" s="208"/>
      <c r="K103" s="209"/>
      <c r="L103" s="211"/>
      <c r="M103" s="209">
        <f t="shared" ca="1" si="131"/>
        <v>0</v>
      </c>
      <c r="N103" s="208"/>
      <c r="O103" s="209"/>
      <c r="P103" s="210"/>
      <c r="Q103" s="113">
        <v>5</v>
      </c>
      <c r="R103" s="114"/>
      <c r="S103" s="115" t="str">
        <f t="shared" si="137"/>
        <v/>
      </c>
      <c r="T103" s="116"/>
      <c r="U103" s="116"/>
      <c r="V103" s="117" t="str">
        <f t="shared" si="132"/>
        <v/>
      </c>
      <c r="W103" s="116"/>
      <c r="X103" s="116"/>
      <c r="Y103" s="116"/>
      <c r="Z103" s="118" t="str">
        <f t="shared" si="138"/>
        <v/>
      </c>
      <c r="AA103" s="119" t="str">
        <f t="shared" si="133"/>
        <v/>
      </c>
      <c r="AB103" s="117" t="str">
        <f t="shared" si="134"/>
        <v/>
      </c>
      <c r="AC103" s="119" t="str">
        <f t="shared" si="135"/>
        <v/>
      </c>
      <c r="AD103" s="117" t="str">
        <f t="shared" si="139"/>
        <v/>
      </c>
      <c r="AE103" s="120" t="str">
        <f t="shared" ref="AE103" si="140">IFERROR(IF(OR(AND(AA103="Muy Baja",AC103="Leve"),AND(AA103="Muy Baja",AC103="Menor"),AND(AA103="Baja",AC103="Leve")),"Bajo",IF(OR(AND(AA103="Muy baja",AC103="Moderado"),AND(AA103="Baja",AC103="Menor"),AND(AA103="Baja",AC103="Moderado"),AND(AA103="Media",AC103="Leve"),AND(AA103="Media",AC103="Menor"),AND(AA103="Media",AC103="Moderado"),AND(AA103="Alta",AC103="Leve"),AND(AA103="Alta",AC103="Menor")),"Moderado",IF(OR(AND(AA103="Muy Baja",AC103="Mayor"),AND(AA103="Baja",AC103="Mayor"),AND(AA103="Media",AC103="Mayor"),AND(AA103="Alta",AC103="Moderado"),AND(AA103="Alta",AC103="Mayor"),AND(AA103="Muy Alta",AC103="Leve"),AND(AA103="Muy Alta",AC103="Menor"),AND(AA103="Muy Alta",AC103="Moderado"),AND(AA103="Muy Alta",AC103="Mayor")),"Alto",IF(OR(AND(AA103="Muy Baja",AC103="Catastrófico"),AND(AA103="Baja",AC103="Catastrófico"),AND(AA103="Media",AC103="Catastrófico"),AND(AA103="Alta",AC103="Catastrófico"),AND(AA103="Muy Alta",AC103="Catastrófico")),"Extremo","")))),"")</f>
        <v/>
      </c>
      <c r="AF103" s="116"/>
      <c r="AG103" s="121"/>
      <c r="AH103" s="122"/>
      <c r="AI103" s="123"/>
      <c r="AJ103" s="123"/>
      <c r="AK103" s="121"/>
      <c r="AL103" s="122"/>
    </row>
    <row r="104" spans="1:38" x14ac:dyDescent="0.3">
      <c r="A104" s="216"/>
      <c r="B104" s="139"/>
      <c r="C104" s="139"/>
      <c r="D104" s="217"/>
      <c r="E104" s="212"/>
      <c r="F104" s="141"/>
      <c r="G104" s="217"/>
      <c r="H104" s="140"/>
      <c r="I104" s="218"/>
      <c r="J104" s="208"/>
      <c r="K104" s="209"/>
      <c r="L104" s="211"/>
      <c r="M104" s="209">
        <f t="shared" ca="1" si="131"/>
        <v>0</v>
      </c>
      <c r="N104" s="208"/>
      <c r="O104" s="209"/>
      <c r="P104" s="210"/>
      <c r="Q104" s="113">
        <v>6</v>
      </c>
      <c r="R104" s="114"/>
      <c r="S104" s="115" t="str">
        <f t="shared" si="137"/>
        <v/>
      </c>
      <c r="T104" s="116"/>
      <c r="U104" s="116"/>
      <c r="V104" s="117" t="str">
        <f t="shared" si="132"/>
        <v/>
      </c>
      <c r="W104" s="116"/>
      <c r="X104" s="116"/>
      <c r="Y104" s="116"/>
      <c r="Z104" s="118" t="str">
        <f t="shared" si="138"/>
        <v/>
      </c>
      <c r="AA104" s="119" t="str">
        <f t="shared" si="133"/>
        <v/>
      </c>
      <c r="AB104" s="117" t="str">
        <f t="shared" si="134"/>
        <v/>
      </c>
      <c r="AC104" s="119" t="str">
        <f>IFERROR(IF(AD104="","",IF(AD104&lt;=0.2,"Leve",IF(AD104&lt;=0.4,"Menor",IF(AD104&lt;=0.6,"Moderado",IF(AD104&lt;=0.8,"Mayor","Catastrófico"))))),"")</f>
        <v/>
      </c>
      <c r="AD104" s="117" t="str">
        <f t="shared" si="139"/>
        <v/>
      </c>
      <c r="AE104" s="120" t="str">
        <f>IFERROR(IF(OR(AND(AA104="Muy Baja",AC104="Leve"),AND(AA104="Muy Baja",AC104="Menor"),AND(AA104="Baja",AC104="Leve")),"Bajo",IF(OR(AND(AA104="Muy baja",AC104="Moderado"),AND(AA104="Baja",AC104="Menor"),AND(AA104="Baja",AC104="Moderado"),AND(AA104="Media",AC104="Leve"),AND(AA104="Media",AC104="Menor"),AND(AA104="Media",AC104="Moderado"),AND(AA104="Alta",AC104="Leve"),AND(AA104="Alta",AC104="Menor")),"Moderado",IF(OR(AND(AA104="Muy Baja",AC104="Mayor"),AND(AA104="Baja",AC104="Mayor"),AND(AA104="Media",AC104="Mayor"),AND(AA104="Alta",AC104="Moderado"),AND(AA104="Alta",AC104="Mayor"),AND(AA104="Muy Alta",AC104="Leve"),AND(AA104="Muy Alta",AC104="Menor"),AND(AA104="Muy Alta",AC104="Moderado"),AND(AA104="Muy Alta",AC104="Mayor")),"Alto",IF(OR(AND(AA104="Muy Baja",AC104="Catastrófico"),AND(AA104="Baja",AC104="Catastrófico"),AND(AA104="Media",AC104="Catastrófico"),AND(AA104="Alta",AC104="Catastrófico"),AND(AA104="Muy Alta",AC104="Catastrófico")),"Extremo","")))),"")</f>
        <v/>
      </c>
      <c r="AF104" s="116"/>
      <c r="AG104" s="121"/>
      <c r="AH104" s="122"/>
      <c r="AI104" s="123"/>
      <c r="AJ104" s="123"/>
      <c r="AK104" s="121"/>
      <c r="AL104" s="122"/>
    </row>
    <row r="105" spans="1:38" x14ac:dyDescent="0.3">
      <c r="A105" s="216">
        <v>7</v>
      </c>
      <c r="B105" s="139"/>
      <c r="C105" s="139"/>
      <c r="D105" s="217"/>
      <c r="E105" s="212"/>
      <c r="F105" s="141"/>
      <c r="G105" s="217"/>
      <c r="H105" s="140"/>
      <c r="I105" s="218"/>
      <c r="J105" s="208" t="str">
        <f>IF(I105&lt;=0,"",IF(I105&lt;=2,"Muy Baja",IF(I105&lt;=24,"Baja",IF(I105&lt;=500,"Media",IF(I105&lt;=5000,"Alta","Muy Alta")))))</f>
        <v/>
      </c>
      <c r="K105" s="209" t="str">
        <f>IF(J105="","",IF(J105="Muy Baja",0.2,IF(J105="Baja",0.4,IF(J105="Media",0.6,IF(J105="Alta",0.8,IF(J105="Muy Alta",1,))))))</f>
        <v/>
      </c>
      <c r="L105" s="211"/>
      <c r="M105" s="209">
        <f>IF(NOT(ISERROR(MATCH(L105,'Tabla Impacto'!$B$221:$B$223,0))),'Tabla Impacto'!$F$223&amp;"Por favor no seleccionar los criterios de impacto(Afectación Económica o presupuestal y Pérdida Reputacional)",L105)</f>
        <v>0</v>
      </c>
      <c r="N105" s="208" t="str">
        <f>IF(OR(M105='Tabla Impacto'!$C$11,M105='Tabla Impacto'!$D$11),"Leve",IF(OR(M105='Tabla Impacto'!$C$12,M105='Tabla Impacto'!$D$12),"Menor",IF(OR(M105='Tabla Impacto'!$C$13,M105='Tabla Impacto'!$D$13),"Moderado",IF(OR(M105='Tabla Impacto'!$C$14,M105='Tabla Impacto'!$D$14),"Mayor",IF(OR(M105='Tabla Impacto'!$C$15,M105='Tabla Impacto'!$D$15),"Catastrófico","")))))</f>
        <v/>
      </c>
      <c r="O105" s="209" t="str">
        <f>IF(N105="","",IF(N105="Leve",0.2,IF(N105="Menor",0.4,IF(N105="Moderado",0.6,IF(N105="Mayor",0.8,IF(N105="Catastrófico",1,))))))</f>
        <v/>
      </c>
      <c r="P105" s="210" t="str">
        <f>IF(OR(AND(J105="Muy Baja",N105="Leve"),AND(J105="Muy Baja",N105="Menor"),AND(J105="Baja",N105="Leve")),"Bajo",IF(OR(AND(J105="Muy baja",N105="Moderado"),AND(J105="Baja",N105="Menor"),AND(J105="Baja",N105="Moderado"),AND(J105="Media",N105="Leve"),AND(J105="Media",N105="Menor"),AND(J105="Media",N105="Moderado"),AND(J105="Alta",N105="Leve"),AND(J105="Alta",N105="Menor")),"Moderado",IF(OR(AND(J105="Muy Baja",N105="Mayor"),AND(J105="Baja",N105="Mayor"),AND(J105="Media",N105="Mayor"),AND(J105="Alta",N105="Moderado"),AND(J105="Alta",N105="Mayor"),AND(J105="Muy Alta",N105="Leve"),AND(J105="Muy Alta",N105="Menor"),AND(J105="Muy Alta",N105="Moderado"),AND(J105="Muy Alta",N105="Mayor")),"Alto",IF(OR(AND(J105="Muy Baja",N105="Catastrófico"),AND(J105="Baja",N105="Catastrófico"),AND(J105="Media",N105="Catastrófico"),AND(J105="Alta",N105="Catastrófico"),AND(J105="Muy Alta",N105="Catastrófico")),"Extremo",""))))</f>
        <v/>
      </c>
      <c r="Q105" s="113">
        <v>1</v>
      </c>
      <c r="R105" s="114"/>
      <c r="S105" s="115" t="str">
        <f>IF(OR(T105="Preventivo",T105="Detectivo"),"Probabilidad",IF(T105="Correctivo","Impacto",""))</f>
        <v/>
      </c>
      <c r="T105" s="116"/>
      <c r="U105" s="116"/>
      <c r="V105" s="117" t="str">
        <f>IF(AND(T105="Preventivo",U105="Automático"),"50%",IF(AND(T105="Preventivo",U105="Manual"),"40%",IF(AND(T105="Detectivo",U105="Automático"),"40%",IF(AND(T105="Detectivo",U105="Manual"),"30%",IF(AND(T105="Correctivo",U105="Automático"),"35%",IF(AND(T105="Correctivo",U105="Manual"),"25%",""))))))</f>
        <v/>
      </c>
      <c r="W105" s="116"/>
      <c r="X105" s="116"/>
      <c r="Y105" s="116"/>
      <c r="Z105" s="118" t="str">
        <f>IFERROR(IF(S105="Probabilidad",(K105-(+K105*V105)),IF(S105="Impacto",K105,"")),"")</f>
        <v/>
      </c>
      <c r="AA105" s="119" t="str">
        <f>IFERROR(IF(Z105="","",IF(Z105&lt;=0.2,"Muy Baja",IF(Z105&lt;=0.4,"Baja",IF(Z105&lt;=0.6,"Media",IF(Z105&lt;=0.8,"Alta","Muy Alta"))))),"")</f>
        <v/>
      </c>
      <c r="AB105" s="117" t="str">
        <f>+Z105</f>
        <v/>
      </c>
      <c r="AC105" s="119" t="str">
        <f>IFERROR(IF(AD105="","",IF(AD105&lt;=0.2,"Leve",IF(AD105&lt;=0.4,"Menor",IF(AD105&lt;=0.6,"Moderado",IF(AD105&lt;=0.8,"Mayor","Catastrófico"))))),"")</f>
        <v/>
      </c>
      <c r="AD105" s="117" t="str">
        <f>IFERROR(IF(S105="Impacto",(O105-(+O105*V105)),IF(S105="Probabilidad",O105,"")),"")</f>
        <v/>
      </c>
      <c r="AE105" s="120" t="str">
        <f>IFERROR(IF(OR(AND(AA105="Muy Baja",AC105="Leve"),AND(AA105="Muy Baja",AC105="Menor"),AND(AA105="Baja",AC105="Leve")),"Bajo",IF(OR(AND(AA105="Muy baja",AC105="Moderado"),AND(AA105="Baja",AC105="Menor"),AND(AA105="Baja",AC105="Moderado"),AND(AA105="Media",AC105="Leve"),AND(AA105="Media",AC105="Menor"),AND(AA105="Media",AC105="Moderado"),AND(AA105="Alta",AC105="Leve"),AND(AA105="Alta",AC105="Menor")),"Moderado",IF(OR(AND(AA105="Muy Baja",AC105="Mayor"),AND(AA105="Baja",AC105="Mayor"),AND(AA105="Media",AC105="Mayor"),AND(AA105="Alta",AC105="Moderado"),AND(AA105="Alta",AC105="Mayor"),AND(AA105="Muy Alta",AC105="Leve"),AND(AA105="Muy Alta",AC105="Menor"),AND(AA105="Muy Alta",AC105="Moderado"),AND(AA105="Muy Alta",AC105="Mayor")),"Alto",IF(OR(AND(AA105="Muy Baja",AC105="Catastrófico"),AND(AA105="Baja",AC105="Catastrófico"),AND(AA105="Media",AC105="Catastrófico"),AND(AA105="Alta",AC105="Catastrófico"),AND(AA105="Muy Alta",AC105="Catastrófico")),"Extremo","")))),"")</f>
        <v/>
      </c>
      <c r="AF105" s="116"/>
      <c r="AG105" s="121"/>
      <c r="AH105" s="122"/>
      <c r="AI105" s="123"/>
      <c r="AJ105" s="123"/>
      <c r="AK105" s="121"/>
      <c r="AL105" s="122"/>
    </row>
    <row r="106" spans="1:38" x14ac:dyDescent="0.3">
      <c r="A106" s="216"/>
      <c r="B106" s="139"/>
      <c r="C106" s="139"/>
      <c r="D106" s="217"/>
      <c r="E106" s="212"/>
      <c r="F106" s="141"/>
      <c r="G106" s="217"/>
      <c r="H106" s="140"/>
      <c r="I106" s="218"/>
      <c r="J106" s="208"/>
      <c r="K106" s="209"/>
      <c r="L106" s="211"/>
      <c r="M106" s="209">
        <f t="shared" ref="M106:M110" ca="1" si="141">IF(NOT(ISERROR(MATCH(L106,_xlfn.ANCHORARRAY(E117),0))),K119&amp;"Por favor no seleccionar los criterios de impacto",L106)</f>
        <v>0</v>
      </c>
      <c r="N106" s="208"/>
      <c r="O106" s="209"/>
      <c r="P106" s="210"/>
      <c r="Q106" s="113">
        <v>2</v>
      </c>
      <c r="R106" s="114"/>
      <c r="S106" s="115" t="str">
        <f>IF(OR(T106="Preventivo",T106="Detectivo"),"Probabilidad",IF(T106="Correctivo","Impacto",""))</f>
        <v/>
      </c>
      <c r="T106" s="116"/>
      <c r="U106" s="116"/>
      <c r="V106" s="117" t="str">
        <f t="shared" ref="V106:V110" si="142">IF(AND(T106="Preventivo",U106="Automático"),"50%",IF(AND(T106="Preventivo",U106="Manual"),"40%",IF(AND(T106="Detectivo",U106="Automático"),"40%",IF(AND(T106="Detectivo",U106="Manual"),"30%",IF(AND(T106="Correctivo",U106="Automático"),"35%",IF(AND(T106="Correctivo",U106="Manual"),"25%",""))))))</f>
        <v/>
      </c>
      <c r="W106" s="116"/>
      <c r="X106" s="116"/>
      <c r="Y106" s="116"/>
      <c r="Z106" s="118" t="str">
        <f>IFERROR(IF(AND(S105="Probabilidad",S106="Probabilidad"),(AB105-(+AB105*V106)),IF(S106="Probabilidad",(K105-(+K105*V106)),IF(S106="Impacto",AB105,""))),"")</f>
        <v/>
      </c>
      <c r="AA106" s="119" t="str">
        <f t="shared" ref="AA106:AA110" si="143">IFERROR(IF(Z106="","",IF(Z106&lt;=0.2,"Muy Baja",IF(Z106&lt;=0.4,"Baja",IF(Z106&lt;=0.6,"Media",IF(Z106&lt;=0.8,"Alta","Muy Alta"))))),"")</f>
        <v/>
      </c>
      <c r="AB106" s="117" t="str">
        <f t="shared" ref="AB106:AB110" si="144">+Z106</f>
        <v/>
      </c>
      <c r="AC106" s="119" t="str">
        <f t="shared" ref="AC106:AC110" si="145">IFERROR(IF(AD106="","",IF(AD106&lt;=0.2,"Leve",IF(AD106&lt;=0.4,"Menor",IF(AD106&lt;=0.6,"Moderado",IF(AD106&lt;=0.8,"Mayor","Catastrófico"))))),"")</f>
        <v/>
      </c>
      <c r="AD106" s="117" t="str">
        <f>IFERROR(IF(AND(S105="Impacto",S106="Impacto"),(AD99-(+AD99*V106)),IF(S106="Impacto",($O$45-(+$O$45*V106)),IF(S106="Probabilidad",AD99,""))),"")</f>
        <v/>
      </c>
      <c r="AE106" s="120" t="str">
        <f t="shared" ref="AE106:AE107" si="146">IFERROR(IF(OR(AND(AA106="Muy Baja",AC106="Leve"),AND(AA106="Muy Baja",AC106="Menor"),AND(AA106="Baja",AC106="Leve")),"Bajo",IF(OR(AND(AA106="Muy baja",AC106="Moderado"),AND(AA106="Baja",AC106="Menor"),AND(AA106="Baja",AC106="Moderado"),AND(AA106="Media",AC106="Leve"),AND(AA106="Media",AC106="Menor"),AND(AA106="Media",AC106="Moderado"),AND(AA106="Alta",AC106="Leve"),AND(AA106="Alta",AC106="Menor")),"Moderado",IF(OR(AND(AA106="Muy Baja",AC106="Mayor"),AND(AA106="Baja",AC106="Mayor"),AND(AA106="Media",AC106="Mayor"),AND(AA106="Alta",AC106="Moderado"),AND(AA106="Alta",AC106="Mayor"),AND(AA106="Muy Alta",AC106="Leve"),AND(AA106="Muy Alta",AC106="Menor"),AND(AA106="Muy Alta",AC106="Moderado"),AND(AA106="Muy Alta",AC106="Mayor")),"Alto",IF(OR(AND(AA106="Muy Baja",AC106="Catastrófico"),AND(AA106="Baja",AC106="Catastrófico"),AND(AA106="Media",AC106="Catastrófico"),AND(AA106="Alta",AC106="Catastrófico"),AND(AA106="Muy Alta",AC106="Catastrófico")),"Extremo","")))),"")</f>
        <v/>
      </c>
      <c r="AF106" s="116"/>
      <c r="AG106" s="121"/>
      <c r="AH106" s="122"/>
      <c r="AI106" s="123"/>
      <c r="AJ106" s="123"/>
      <c r="AK106" s="121"/>
      <c r="AL106" s="122"/>
    </row>
    <row r="107" spans="1:38" x14ac:dyDescent="0.3">
      <c r="A107" s="216"/>
      <c r="B107" s="139"/>
      <c r="C107" s="139"/>
      <c r="D107" s="217"/>
      <c r="E107" s="212"/>
      <c r="F107" s="141"/>
      <c r="G107" s="217"/>
      <c r="H107" s="140"/>
      <c r="I107" s="218"/>
      <c r="J107" s="208"/>
      <c r="K107" s="209"/>
      <c r="L107" s="211"/>
      <c r="M107" s="209">
        <f t="shared" ca="1" si="141"/>
        <v>0</v>
      </c>
      <c r="N107" s="208"/>
      <c r="O107" s="209"/>
      <c r="P107" s="210"/>
      <c r="Q107" s="113">
        <v>3</v>
      </c>
      <c r="R107" s="126"/>
      <c r="S107" s="115" t="str">
        <f>IF(OR(T107="Preventivo",T107="Detectivo"),"Probabilidad",IF(T107="Correctivo","Impacto",""))</f>
        <v/>
      </c>
      <c r="T107" s="116"/>
      <c r="U107" s="116"/>
      <c r="V107" s="117" t="str">
        <f t="shared" si="142"/>
        <v/>
      </c>
      <c r="W107" s="116"/>
      <c r="X107" s="116"/>
      <c r="Y107" s="116"/>
      <c r="Z107" s="118" t="str">
        <f>IFERROR(IF(AND(S106="Probabilidad",S107="Probabilidad"),(AB106-(+AB106*V107)),IF(AND(S106="Impacto",S107="Probabilidad"),(AB105-(+AB105*V107)),IF(S107="Impacto",AB106,""))),"")</f>
        <v/>
      </c>
      <c r="AA107" s="119" t="str">
        <f t="shared" si="143"/>
        <v/>
      </c>
      <c r="AB107" s="117" t="str">
        <f t="shared" si="144"/>
        <v/>
      </c>
      <c r="AC107" s="119" t="str">
        <f t="shared" si="145"/>
        <v/>
      </c>
      <c r="AD107" s="117" t="str">
        <f>IFERROR(IF(AND(S106="Impacto",S107="Impacto"),(AD106-(+AD106*V107)),IF(AND(S106="Probabilidad",S107="Impacto"),(AD105-(+AD105*V107)),IF(S107="Probabilidad",AD106,""))),"")</f>
        <v/>
      </c>
      <c r="AE107" s="120" t="str">
        <f t="shared" si="146"/>
        <v/>
      </c>
      <c r="AF107" s="116"/>
      <c r="AG107" s="121"/>
      <c r="AH107" s="122"/>
      <c r="AI107" s="123"/>
      <c r="AJ107" s="123"/>
      <c r="AK107" s="121"/>
      <c r="AL107" s="122"/>
    </row>
    <row r="108" spans="1:38" x14ac:dyDescent="0.3">
      <c r="A108" s="216"/>
      <c r="B108" s="139"/>
      <c r="C108" s="139"/>
      <c r="D108" s="217"/>
      <c r="E108" s="212"/>
      <c r="F108" s="141"/>
      <c r="G108" s="217"/>
      <c r="H108" s="140"/>
      <c r="I108" s="218"/>
      <c r="J108" s="208"/>
      <c r="K108" s="209"/>
      <c r="L108" s="211"/>
      <c r="M108" s="209">
        <f t="shared" ca="1" si="141"/>
        <v>0</v>
      </c>
      <c r="N108" s="208"/>
      <c r="O108" s="209"/>
      <c r="P108" s="210"/>
      <c r="Q108" s="113">
        <v>4</v>
      </c>
      <c r="R108" s="114"/>
      <c r="S108" s="115" t="str">
        <f t="shared" ref="S108:S110" si="147">IF(OR(T108="Preventivo",T108="Detectivo"),"Probabilidad",IF(T108="Correctivo","Impacto",""))</f>
        <v/>
      </c>
      <c r="T108" s="116"/>
      <c r="U108" s="116"/>
      <c r="V108" s="117" t="str">
        <f t="shared" si="142"/>
        <v/>
      </c>
      <c r="W108" s="116"/>
      <c r="X108" s="116"/>
      <c r="Y108" s="116"/>
      <c r="Z108" s="118" t="str">
        <f t="shared" ref="Z108:Z110" si="148">IFERROR(IF(AND(S107="Probabilidad",S108="Probabilidad"),(AB107-(+AB107*V108)),IF(AND(S107="Impacto",S108="Probabilidad"),(AB106-(+AB106*V108)),IF(S108="Impacto",AB107,""))),"")</f>
        <v/>
      </c>
      <c r="AA108" s="119" t="str">
        <f t="shared" si="143"/>
        <v/>
      </c>
      <c r="AB108" s="117" t="str">
        <f t="shared" si="144"/>
        <v/>
      </c>
      <c r="AC108" s="119" t="str">
        <f t="shared" si="145"/>
        <v/>
      </c>
      <c r="AD108" s="117" t="str">
        <f t="shared" ref="AD108:AD110" si="149">IFERROR(IF(AND(S107="Impacto",S108="Impacto"),(AD107-(+AD107*V108)),IF(AND(S107="Probabilidad",S108="Impacto"),(AD106-(+AD106*V108)),IF(S108="Probabilidad",AD107,""))),"")</f>
        <v/>
      </c>
      <c r="AE108" s="120" t="str">
        <f>IFERROR(IF(OR(AND(AA108="Muy Baja",AC108="Leve"),AND(AA108="Muy Baja",AC108="Menor"),AND(AA108="Baja",AC108="Leve")),"Bajo",IF(OR(AND(AA108="Muy baja",AC108="Moderado"),AND(AA108="Baja",AC108="Menor"),AND(AA108="Baja",AC108="Moderado"),AND(AA108="Media",AC108="Leve"),AND(AA108="Media",AC108="Menor"),AND(AA108="Media",AC108="Moderado"),AND(AA108="Alta",AC108="Leve"),AND(AA108="Alta",AC108="Menor")),"Moderado",IF(OR(AND(AA108="Muy Baja",AC108="Mayor"),AND(AA108="Baja",AC108="Mayor"),AND(AA108="Media",AC108="Mayor"),AND(AA108="Alta",AC108="Moderado"),AND(AA108="Alta",AC108="Mayor"),AND(AA108="Muy Alta",AC108="Leve"),AND(AA108="Muy Alta",AC108="Menor"),AND(AA108="Muy Alta",AC108="Moderado"),AND(AA108="Muy Alta",AC108="Mayor")),"Alto",IF(OR(AND(AA108="Muy Baja",AC108="Catastrófico"),AND(AA108="Baja",AC108="Catastrófico"),AND(AA108="Media",AC108="Catastrófico"),AND(AA108="Alta",AC108="Catastrófico"),AND(AA108="Muy Alta",AC108="Catastrófico")),"Extremo","")))),"")</f>
        <v/>
      </c>
      <c r="AF108" s="116"/>
      <c r="AG108" s="121"/>
      <c r="AH108" s="122"/>
      <c r="AI108" s="123"/>
      <c r="AJ108" s="123"/>
      <c r="AK108" s="121"/>
      <c r="AL108" s="122"/>
    </row>
    <row r="109" spans="1:38" x14ac:dyDescent="0.3">
      <c r="A109" s="216"/>
      <c r="B109" s="139"/>
      <c r="C109" s="139"/>
      <c r="D109" s="217"/>
      <c r="E109" s="212"/>
      <c r="F109" s="141"/>
      <c r="G109" s="217"/>
      <c r="H109" s="140"/>
      <c r="I109" s="218"/>
      <c r="J109" s="208"/>
      <c r="K109" s="209"/>
      <c r="L109" s="211"/>
      <c r="M109" s="209">
        <f t="shared" ca="1" si="141"/>
        <v>0</v>
      </c>
      <c r="N109" s="208"/>
      <c r="O109" s="209"/>
      <c r="P109" s="210"/>
      <c r="Q109" s="113">
        <v>5</v>
      </c>
      <c r="R109" s="114"/>
      <c r="S109" s="115" t="str">
        <f t="shared" si="147"/>
        <v/>
      </c>
      <c r="T109" s="116"/>
      <c r="U109" s="116"/>
      <c r="V109" s="117" t="str">
        <f t="shared" si="142"/>
        <v/>
      </c>
      <c r="W109" s="116"/>
      <c r="X109" s="116"/>
      <c r="Y109" s="116"/>
      <c r="Z109" s="118" t="str">
        <f t="shared" si="148"/>
        <v/>
      </c>
      <c r="AA109" s="119" t="str">
        <f t="shared" si="143"/>
        <v/>
      </c>
      <c r="AB109" s="117" t="str">
        <f t="shared" si="144"/>
        <v/>
      </c>
      <c r="AC109" s="119" t="str">
        <f t="shared" si="145"/>
        <v/>
      </c>
      <c r="AD109" s="117" t="str">
        <f t="shared" si="149"/>
        <v/>
      </c>
      <c r="AE109" s="120" t="str">
        <f t="shared" ref="AE109:AE110" si="150">IFERROR(IF(OR(AND(AA109="Muy Baja",AC109="Leve"),AND(AA109="Muy Baja",AC109="Menor"),AND(AA109="Baja",AC109="Leve")),"Bajo",IF(OR(AND(AA109="Muy baja",AC109="Moderado"),AND(AA109="Baja",AC109="Menor"),AND(AA109="Baja",AC109="Moderado"),AND(AA109="Media",AC109="Leve"),AND(AA109="Media",AC109="Menor"),AND(AA109="Media",AC109="Moderado"),AND(AA109="Alta",AC109="Leve"),AND(AA109="Alta",AC109="Menor")),"Moderado",IF(OR(AND(AA109="Muy Baja",AC109="Mayor"),AND(AA109="Baja",AC109="Mayor"),AND(AA109="Media",AC109="Mayor"),AND(AA109="Alta",AC109="Moderado"),AND(AA109="Alta",AC109="Mayor"),AND(AA109="Muy Alta",AC109="Leve"),AND(AA109="Muy Alta",AC109="Menor"),AND(AA109="Muy Alta",AC109="Moderado"),AND(AA109="Muy Alta",AC109="Mayor")),"Alto",IF(OR(AND(AA109="Muy Baja",AC109="Catastrófico"),AND(AA109="Baja",AC109="Catastrófico"),AND(AA109="Media",AC109="Catastrófico"),AND(AA109="Alta",AC109="Catastrófico"),AND(AA109="Muy Alta",AC109="Catastrófico")),"Extremo","")))),"")</f>
        <v/>
      </c>
      <c r="AF109" s="116"/>
      <c r="AG109" s="121"/>
      <c r="AH109" s="122"/>
      <c r="AI109" s="123"/>
      <c r="AJ109" s="123"/>
      <c r="AK109" s="121"/>
      <c r="AL109" s="122"/>
    </row>
    <row r="110" spans="1:38" x14ac:dyDescent="0.3">
      <c r="A110" s="216"/>
      <c r="B110" s="139"/>
      <c r="C110" s="139"/>
      <c r="D110" s="217"/>
      <c r="E110" s="212"/>
      <c r="F110" s="141"/>
      <c r="G110" s="217"/>
      <c r="H110" s="140"/>
      <c r="I110" s="218"/>
      <c r="J110" s="208"/>
      <c r="K110" s="209"/>
      <c r="L110" s="211"/>
      <c r="M110" s="209">
        <f t="shared" ca="1" si="141"/>
        <v>0</v>
      </c>
      <c r="N110" s="208"/>
      <c r="O110" s="209"/>
      <c r="P110" s="210"/>
      <c r="Q110" s="113">
        <v>6</v>
      </c>
      <c r="R110" s="114"/>
      <c r="S110" s="115" t="str">
        <f t="shared" si="147"/>
        <v/>
      </c>
      <c r="T110" s="116"/>
      <c r="U110" s="116"/>
      <c r="V110" s="117" t="str">
        <f t="shared" si="142"/>
        <v/>
      </c>
      <c r="W110" s="116"/>
      <c r="X110" s="116"/>
      <c r="Y110" s="116"/>
      <c r="Z110" s="118" t="str">
        <f t="shared" si="148"/>
        <v/>
      </c>
      <c r="AA110" s="119" t="str">
        <f t="shared" si="143"/>
        <v/>
      </c>
      <c r="AB110" s="117" t="str">
        <f t="shared" si="144"/>
        <v/>
      </c>
      <c r="AC110" s="119" t="str">
        <f t="shared" si="145"/>
        <v/>
      </c>
      <c r="AD110" s="117" t="str">
        <f t="shared" si="149"/>
        <v/>
      </c>
      <c r="AE110" s="120" t="str">
        <f t="shared" si="150"/>
        <v/>
      </c>
      <c r="AF110" s="116"/>
      <c r="AG110" s="121"/>
      <c r="AH110" s="122"/>
      <c r="AI110" s="123"/>
      <c r="AJ110" s="123"/>
      <c r="AK110" s="121"/>
      <c r="AL110" s="122"/>
    </row>
    <row r="111" spans="1:38" x14ac:dyDescent="0.3">
      <c r="A111" s="216">
        <v>8</v>
      </c>
      <c r="B111" s="139"/>
      <c r="C111" s="139"/>
      <c r="D111" s="217"/>
      <c r="E111" s="212"/>
      <c r="F111" s="141"/>
      <c r="G111" s="217"/>
      <c r="H111" s="140"/>
      <c r="I111" s="218"/>
      <c r="J111" s="208" t="str">
        <f>IF(I111&lt;=0,"",IF(I111&lt;=2,"Muy Baja",IF(I111&lt;=24,"Baja",IF(I111&lt;=500,"Media",IF(I111&lt;=5000,"Alta","Muy Alta")))))</f>
        <v/>
      </c>
      <c r="K111" s="209" t="str">
        <f>IF(J111="","",IF(J111="Muy Baja",0.2,IF(J111="Baja",0.4,IF(J111="Media",0.6,IF(J111="Alta",0.8,IF(J111="Muy Alta",1,))))))</f>
        <v/>
      </c>
      <c r="L111" s="211"/>
      <c r="M111" s="209">
        <f>IF(NOT(ISERROR(MATCH(L111,'Tabla Impacto'!$B$221:$B$223,0))),'Tabla Impacto'!$F$223&amp;"Por favor no seleccionar los criterios de impacto(Afectación Económica o presupuestal y Pérdida Reputacional)",L111)</f>
        <v>0</v>
      </c>
      <c r="N111" s="208" t="str">
        <f>IF(OR(M111='Tabla Impacto'!$C$11,M111='Tabla Impacto'!$D$11),"Leve",IF(OR(M111='Tabla Impacto'!$C$12,M111='Tabla Impacto'!$D$12),"Menor",IF(OR(M111='Tabla Impacto'!$C$13,M111='Tabla Impacto'!$D$13),"Moderado",IF(OR(M111='Tabla Impacto'!$C$14,M111='Tabla Impacto'!$D$14),"Mayor",IF(OR(M111='Tabla Impacto'!$C$15,M111='Tabla Impacto'!$D$15),"Catastrófico","")))))</f>
        <v/>
      </c>
      <c r="O111" s="209" t="str">
        <f>IF(N111="","",IF(N111="Leve",0.2,IF(N111="Menor",0.4,IF(N111="Moderado",0.6,IF(N111="Mayor",0.8,IF(N111="Catastrófico",1,))))))</f>
        <v/>
      </c>
      <c r="P111" s="210" t="str">
        <f>IF(OR(AND(J111="Muy Baja",N111="Leve"),AND(J111="Muy Baja",N111="Menor"),AND(J111="Baja",N111="Leve")),"Bajo",IF(OR(AND(J111="Muy baja",N111="Moderado"),AND(J111="Baja",N111="Menor"),AND(J111="Baja",N111="Moderado"),AND(J111="Media",N111="Leve"),AND(J111="Media",N111="Menor"),AND(J111="Media",N111="Moderado"),AND(J111="Alta",N111="Leve"),AND(J111="Alta",N111="Menor")),"Moderado",IF(OR(AND(J111="Muy Baja",N111="Mayor"),AND(J111="Baja",N111="Mayor"),AND(J111="Media",N111="Mayor"),AND(J111="Alta",N111="Moderado"),AND(J111="Alta",N111="Mayor"),AND(J111="Muy Alta",N111="Leve"),AND(J111="Muy Alta",N111="Menor"),AND(J111="Muy Alta",N111="Moderado"),AND(J111="Muy Alta",N111="Mayor")),"Alto",IF(OR(AND(J111="Muy Baja",N111="Catastrófico"),AND(J111="Baja",N111="Catastrófico"),AND(J111="Media",N111="Catastrófico"),AND(J111="Alta",N111="Catastrófico"),AND(J111="Muy Alta",N111="Catastrófico")),"Extremo",""))))</f>
        <v/>
      </c>
      <c r="Q111" s="113">
        <v>1</v>
      </c>
      <c r="R111" s="114"/>
      <c r="S111" s="115" t="str">
        <f>IF(OR(T111="Preventivo",T111="Detectivo"),"Probabilidad",IF(T111="Correctivo","Impacto",""))</f>
        <v/>
      </c>
      <c r="T111" s="116"/>
      <c r="U111" s="116"/>
      <c r="V111" s="117" t="str">
        <f>IF(AND(T111="Preventivo",U111="Automático"),"50%",IF(AND(T111="Preventivo",U111="Manual"),"40%",IF(AND(T111="Detectivo",U111="Automático"),"40%",IF(AND(T111="Detectivo",U111="Manual"),"30%",IF(AND(T111="Correctivo",U111="Automático"),"35%",IF(AND(T111="Correctivo",U111="Manual"),"25%",""))))))</f>
        <v/>
      </c>
      <c r="W111" s="116"/>
      <c r="X111" s="116"/>
      <c r="Y111" s="116"/>
      <c r="Z111" s="118" t="str">
        <f>IFERROR(IF(S111="Probabilidad",(K111-(+K111*V111)),IF(S111="Impacto",K111,"")),"")</f>
        <v/>
      </c>
      <c r="AA111" s="119" t="str">
        <f>IFERROR(IF(Z111="","",IF(Z111&lt;=0.2,"Muy Baja",IF(Z111&lt;=0.4,"Baja",IF(Z111&lt;=0.6,"Media",IF(Z111&lt;=0.8,"Alta","Muy Alta"))))),"")</f>
        <v/>
      </c>
      <c r="AB111" s="117" t="str">
        <f>+Z111</f>
        <v/>
      </c>
      <c r="AC111" s="119" t="str">
        <f>IFERROR(IF(AD111="","",IF(AD111&lt;=0.2,"Leve",IF(AD111&lt;=0.4,"Menor",IF(AD111&lt;=0.6,"Moderado",IF(AD111&lt;=0.8,"Mayor","Catastrófico"))))),"")</f>
        <v/>
      </c>
      <c r="AD111" s="117" t="str">
        <f>IFERROR(IF(S111="Impacto",(O111-(+O111*V111)),IF(S111="Probabilidad",O111,"")),"")</f>
        <v/>
      </c>
      <c r="AE111" s="120" t="str">
        <f>IFERROR(IF(OR(AND(AA111="Muy Baja",AC111="Leve"),AND(AA111="Muy Baja",AC111="Menor"),AND(AA111="Baja",AC111="Leve")),"Bajo",IF(OR(AND(AA111="Muy baja",AC111="Moderado"),AND(AA111="Baja",AC111="Menor"),AND(AA111="Baja",AC111="Moderado"),AND(AA111="Media",AC111="Leve"),AND(AA111="Media",AC111="Menor"),AND(AA111="Media",AC111="Moderado"),AND(AA111="Alta",AC111="Leve"),AND(AA111="Alta",AC111="Menor")),"Moderado",IF(OR(AND(AA111="Muy Baja",AC111="Mayor"),AND(AA111="Baja",AC111="Mayor"),AND(AA111="Media",AC111="Mayor"),AND(AA111="Alta",AC111="Moderado"),AND(AA111="Alta",AC111="Mayor"),AND(AA111="Muy Alta",AC111="Leve"),AND(AA111="Muy Alta",AC111="Menor"),AND(AA111="Muy Alta",AC111="Moderado"),AND(AA111="Muy Alta",AC111="Mayor")),"Alto",IF(OR(AND(AA111="Muy Baja",AC111="Catastrófico"),AND(AA111="Baja",AC111="Catastrófico"),AND(AA111="Media",AC111="Catastrófico"),AND(AA111="Alta",AC111="Catastrófico"),AND(AA111="Muy Alta",AC111="Catastrófico")),"Extremo","")))),"")</f>
        <v/>
      </c>
      <c r="AF111" s="116"/>
      <c r="AG111" s="121"/>
      <c r="AH111" s="122"/>
      <c r="AI111" s="123"/>
      <c r="AJ111" s="123"/>
      <c r="AK111" s="121"/>
      <c r="AL111" s="122"/>
    </row>
    <row r="112" spans="1:38" x14ac:dyDescent="0.3">
      <c r="A112" s="216"/>
      <c r="B112" s="139"/>
      <c r="C112" s="139"/>
      <c r="D112" s="217"/>
      <c r="E112" s="212"/>
      <c r="F112" s="141"/>
      <c r="G112" s="217"/>
      <c r="H112" s="140"/>
      <c r="I112" s="218"/>
      <c r="J112" s="208"/>
      <c r="K112" s="209"/>
      <c r="L112" s="211"/>
      <c r="M112" s="209">
        <f ca="1">IF(NOT(ISERROR(MATCH(L112,_xlfn.ANCHORARRAY(E123),0))),K125&amp;"Por favor no seleccionar los criterios de impacto",L112)</f>
        <v>0</v>
      </c>
      <c r="N112" s="208"/>
      <c r="O112" s="209"/>
      <c r="P112" s="210"/>
      <c r="Q112" s="113">
        <v>2</v>
      </c>
      <c r="R112" s="114"/>
      <c r="S112" s="115" t="str">
        <f>IF(OR(T112="Preventivo",T112="Detectivo"),"Probabilidad",IF(T112="Correctivo","Impacto",""))</f>
        <v/>
      </c>
      <c r="T112" s="116"/>
      <c r="U112" s="116"/>
      <c r="V112" s="117" t="str">
        <f t="shared" ref="V112:V116" si="151">IF(AND(T112="Preventivo",U112="Automático"),"50%",IF(AND(T112="Preventivo",U112="Manual"),"40%",IF(AND(T112="Detectivo",U112="Automático"),"40%",IF(AND(T112="Detectivo",U112="Manual"),"30%",IF(AND(T112="Correctivo",U112="Automático"),"35%",IF(AND(T112="Correctivo",U112="Manual"),"25%",""))))))</f>
        <v/>
      </c>
      <c r="W112" s="116"/>
      <c r="X112" s="116"/>
      <c r="Y112" s="116"/>
      <c r="Z112" s="118" t="str">
        <f>IFERROR(IF(AND(S111="Probabilidad",S112="Probabilidad"),(AB111-(+AB111*V112)),IF(S112="Probabilidad",(K111-(+K111*V112)),IF(S112="Impacto",AB111,""))),"")</f>
        <v/>
      </c>
      <c r="AA112" s="119" t="str">
        <f t="shared" ref="AA112:AA116" si="152">IFERROR(IF(Z112="","",IF(Z112&lt;=0.2,"Muy Baja",IF(Z112&lt;=0.4,"Baja",IF(Z112&lt;=0.6,"Media",IF(Z112&lt;=0.8,"Alta","Muy Alta"))))),"")</f>
        <v/>
      </c>
      <c r="AB112" s="117" t="str">
        <f t="shared" ref="AB112:AB116" si="153">+Z112</f>
        <v/>
      </c>
      <c r="AC112" s="119" t="str">
        <f t="shared" ref="AC112:AC116" si="154">IFERROR(IF(AD112="","",IF(AD112&lt;=0.2,"Leve",IF(AD112&lt;=0.4,"Menor",IF(AD112&lt;=0.6,"Moderado",IF(AD112&lt;=0.8,"Mayor","Catastrófico"))))),"")</f>
        <v/>
      </c>
      <c r="AD112" s="117" t="str">
        <f>IFERROR(IF(AND(S111="Impacto",S112="Impacto"),(AD105-(+AD105*V112)),IF(S112="Impacto",($O$51-(+$O$51*V112)),IF(S112="Probabilidad",AD105,""))),"")</f>
        <v/>
      </c>
      <c r="AE112" s="120" t="str">
        <f t="shared" ref="AE112:AE113" si="155">IFERROR(IF(OR(AND(AA112="Muy Baja",AC112="Leve"),AND(AA112="Muy Baja",AC112="Menor"),AND(AA112="Baja",AC112="Leve")),"Bajo",IF(OR(AND(AA112="Muy baja",AC112="Moderado"),AND(AA112="Baja",AC112="Menor"),AND(AA112="Baja",AC112="Moderado"),AND(AA112="Media",AC112="Leve"),AND(AA112="Media",AC112="Menor"),AND(AA112="Media",AC112="Moderado"),AND(AA112="Alta",AC112="Leve"),AND(AA112="Alta",AC112="Menor")),"Moderado",IF(OR(AND(AA112="Muy Baja",AC112="Mayor"),AND(AA112="Baja",AC112="Mayor"),AND(AA112="Media",AC112="Mayor"),AND(AA112="Alta",AC112="Moderado"),AND(AA112="Alta",AC112="Mayor"),AND(AA112="Muy Alta",AC112="Leve"),AND(AA112="Muy Alta",AC112="Menor"),AND(AA112="Muy Alta",AC112="Moderado"),AND(AA112="Muy Alta",AC112="Mayor")),"Alto",IF(OR(AND(AA112="Muy Baja",AC112="Catastrófico"),AND(AA112="Baja",AC112="Catastrófico"),AND(AA112="Media",AC112="Catastrófico"),AND(AA112="Alta",AC112="Catastrófico"),AND(AA112="Muy Alta",AC112="Catastrófico")),"Extremo","")))),"")</f>
        <v/>
      </c>
      <c r="AF112" s="116"/>
      <c r="AG112" s="121"/>
      <c r="AH112" s="122"/>
      <c r="AI112" s="123"/>
      <c r="AJ112" s="123"/>
      <c r="AK112" s="121"/>
      <c r="AL112" s="122"/>
    </row>
    <row r="113" spans="1:38" x14ac:dyDescent="0.3">
      <c r="A113" s="216"/>
      <c r="B113" s="139"/>
      <c r="C113" s="139"/>
      <c r="D113" s="217"/>
      <c r="E113" s="212"/>
      <c r="F113" s="141"/>
      <c r="G113" s="217"/>
      <c r="H113" s="140"/>
      <c r="I113" s="218"/>
      <c r="J113" s="208"/>
      <c r="K113" s="209"/>
      <c r="L113" s="211"/>
      <c r="M113" s="209">
        <f ca="1">IF(NOT(ISERROR(MATCH(L113,_xlfn.ANCHORARRAY(E124),0))),K126&amp;"Por favor no seleccionar los criterios de impacto",L113)</f>
        <v>0</v>
      </c>
      <c r="N113" s="208"/>
      <c r="O113" s="209"/>
      <c r="P113" s="210"/>
      <c r="Q113" s="113">
        <v>3</v>
      </c>
      <c r="R113" s="126"/>
      <c r="S113" s="115" t="str">
        <f>IF(OR(T113="Preventivo",T113="Detectivo"),"Probabilidad",IF(T113="Correctivo","Impacto",""))</f>
        <v/>
      </c>
      <c r="T113" s="116"/>
      <c r="U113" s="116"/>
      <c r="V113" s="117" t="str">
        <f t="shared" si="151"/>
        <v/>
      </c>
      <c r="W113" s="116"/>
      <c r="X113" s="116"/>
      <c r="Y113" s="116"/>
      <c r="Z113" s="118" t="str">
        <f>IFERROR(IF(AND(S112="Probabilidad",S113="Probabilidad"),(AB112-(+AB112*V113)),IF(AND(S112="Impacto",S113="Probabilidad"),(AB111-(+AB111*V113)),IF(S113="Impacto",AB112,""))),"")</f>
        <v/>
      </c>
      <c r="AA113" s="119" t="str">
        <f t="shared" si="152"/>
        <v/>
      </c>
      <c r="AB113" s="117" t="str">
        <f t="shared" si="153"/>
        <v/>
      </c>
      <c r="AC113" s="119" t="str">
        <f t="shared" si="154"/>
        <v/>
      </c>
      <c r="AD113" s="117" t="str">
        <f>IFERROR(IF(AND(S112="Impacto",S113="Impacto"),(AD112-(+AD112*V113)),IF(AND(S112="Probabilidad",S113="Impacto"),(AD111-(+AD111*V113)),IF(S113="Probabilidad",AD112,""))),"")</f>
        <v/>
      </c>
      <c r="AE113" s="120" t="str">
        <f t="shared" si="155"/>
        <v/>
      </c>
      <c r="AF113" s="116"/>
      <c r="AG113" s="121"/>
      <c r="AH113" s="122"/>
      <c r="AI113" s="123"/>
      <c r="AJ113" s="123"/>
      <c r="AK113" s="121"/>
      <c r="AL113" s="122"/>
    </row>
    <row r="114" spans="1:38" x14ac:dyDescent="0.3">
      <c r="A114" s="216"/>
      <c r="B114" s="139"/>
      <c r="C114" s="139"/>
      <c r="D114" s="217"/>
      <c r="E114" s="212"/>
      <c r="F114" s="141"/>
      <c r="G114" s="217"/>
      <c r="H114" s="140"/>
      <c r="I114" s="218"/>
      <c r="J114" s="208"/>
      <c r="K114" s="209"/>
      <c r="L114" s="211"/>
      <c r="M114" s="209">
        <f ca="1">IF(NOT(ISERROR(MATCH(L114,_xlfn.ANCHORARRAY(E125),0))),K127&amp;"Por favor no seleccionar los criterios de impacto",L114)</f>
        <v>0</v>
      </c>
      <c r="N114" s="208"/>
      <c r="O114" s="209"/>
      <c r="P114" s="210"/>
      <c r="Q114" s="113">
        <v>4</v>
      </c>
      <c r="R114" s="114"/>
      <c r="S114" s="115" t="str">
        <f t="shared" ref="S114:S116" si="156">IF(OR(T114="Preventivo",T114="Detectivo"),"Probabilidad",IF(T114="Correctivo","Impacto",""))</f>
        <v/>
      </c>
      <c r="T114" s="116"/>
      <c r="U114" s="116"/>
      <c r="V114" s="117" t="str">
        <f t="shared" si="151"/>
        <v/>
      </c>
      <c r="W114" s="116"/>
      <c r="X114" s="116"/>
      <c r="Y114" s="116"/>
      <c r="Z114" s="118" t="str">
        <f t="shared" ref="Z114:Z116" si="157">IFERROR(IF(AND(S113="Probabilidad",S114="Probabilidad"),(AB113-(+AB113*V114)),IF(AND(S113="Impacto",S114="Probabilidad"),(AB112-(+AB112*V114)),IF(S114="Impacto",AB113,""))),"")</f>
        <v/>
      </c>
      <c r="AA114" s="119" t="str">
        <f t="shared" si="152"/>
        <v/>
      </c>
      <c r="AB114" s="117" t="str">
        <f t="shared" si="153"/>
        <v/>
      </c>
      <c r="AC114" s="119" t="str">
        <f t="shared" si="154"/>
        <v/>
      </c>
      <c r="AD114" s="117" t="str">
        <f t="shared" ref="AD114:AD116" si="158">IFERROR(IF(AND(S113="Impacto",S114="Impacto"),(AD113-(+AD113*V114)),IF(AND(S113="Probabilidad",S114="Impacto"),(AD112-(+AD112*V114)),IF(S114="Probabilidad",AD113,""))),"")</f>
        <v/>
      </c>
      <c r="AE114" s="120" t="str">
        <f>IFERROR(IF(OR(AND(AA114="Muy Baja",AC114="Leve"),AND(AA114="Muy Baja",AC114="Menor"),AND(AA114="Baja",AC114="Leve")),"Bajo",IF(OR(AND(AA114="Muy baja",AC114="Moderado"),AND(AA114="Baja",AC114="Menor"),AND(AA114="Baja",AC114="Moderado"),AND(AA114="Media",AC114="Leve"),AND(AA114="Media",AC114="Menor"),AND(AA114="Media",AC114="Moderado"),AND(AA114="Alta",AC114="Leve"),AND(AA114="Alta",AC114="Menor")),"Moderado",IF(OR(AND(AA114="Muy Baja",AC114="Mayor"),AND(AA114="Baja",AC114="Mayor"),AND(AA114="Media",AC114="Mayor"),AND(AA114="Alta",AC114="Moderado"),AND(AA114="Alta",AC114="Mayor"),AND(AA114="Muy Alta",AC114="Leve"),AND(AA114="Muy Alta",AC114="Menor"),AND(AA114="Muy Alta",AC114="Moderado"),AND(AA114="Muy Alta",AC114="Mayor")),"Alto",IF(OR(AND(AA114="Muy Baja",AC114="Catastrófico"),AND(AA114="Baja",AC114="Catastrófico"),AND(AA114="Media",AC114="Catastrófico"),AND(AA114="Alta",AC114="Catastrófico"),AND(AA114="Muy Alta",AC114="Catastrófico")),"Extremo","")))),"")</f>
        <v/>
      </c>
      <c r="AF114" s="116"/>
      <c r="AG114" s="121"/>
      <c r="AH114" s="122"/>
      <c r="AI114" s="123"/>
      <c r="AJ114" s="123"/>
      <c r="AK114" s="121"/>
      <c r="AL114" s="122"/>
    </row>
    <row r="115" spans="1:38" x14ac:dyDescent="0.3">
      <c r="A115" s="216"/>
      <c r="B115" s="139"/>
      <c r="C115" s="139"/>
      <c r="D115" s="217"/>
      <c r="E115" s="212"/>
      <c r="F115" s="141"/>
      <c r="G115" s="217"/>
      <c r="H115" s="140"/>
      <c r="I115" s="218"/>
      <c r="J115" s="208"/>
      <c r="K115" s="209"/>
      <c r="L115" s="211"/>
      <c r="M115" s="209">
        <f ca="1">IF(NOT(ISERROR(MATCH(L115,_xlfn.ANCHORARRAY(E126),0))),K128&amp;"Por favor no seleccionar los criterios de impacto",L115)</f>
        <v>0</v>
      </c>
      <c r="N115" s="208"/>
      <c r="O115" s="209"/>
      <c r="P115" s="210"/>
      <c r="Q115" s="113">
        <v>5</v>
      </c>
      <c r="R115" s="114"/>
      <c r="S115" s="115" t="str">
        <f t="shared" si="156"/>
        <v/>
      </c>
      <c r="T115" s="116"/>
      <c r="U115" s="116"/>
      <c r="V115" s="117" t="str">
        <f t="shared" si="151"/>
        <v/>
      </c>
      <c r="W115" s="116"/>
      <c r="X115" s="116"/>
      <c r="Y115" s="116"/>
      <c r="Z115" s="118" t="str">
        <f t="shared" si="157"/>
        <v/>
      </c>
      <c r="AA115" s="119" t="str">
        <f t="shared" si="152"/>
        <v/>
      </c>
      <c r="AB115" s="117" t="str">
        <f t="shared" si="153"/>
        <v/>
      </c>
      <c r="AC115" s="119" t="str">
        <f t="shared" si="154"/>
        <v/>
      </c>
      <c r="AD115" s="117" t="str">
        <f t="shared" si="158"/>
        <v/>
      </c>
      <c r="AE115" s="120" t="str">
        <f t="shared" ref="AE115:AE116" si="159">IFERROR(IF(OR(AND(AA115="Muy Baja",AC115="Leve"),AND(AA115="Muy Baja",AC115="Menor"),AND(AA115="Baja",AC115="Leve")),"Bajo",IF(OR(AND(AA115="Muy baja",AC115="Moderado"),AND(AA115="Baja",AC115="Menor"),AND(AA115="Baja",AC115="Moderado"),AND(AA115="Media",AC115="Leve"),AND(AA115="Media",AC115="Menor"),AND(AA115="Media",AC115="Moderado"),AND(AA115="Alta",AC115="Leve"),AND(AA115="Alta",AC115="Menor")),"Moderado",IF(OR(AND(AA115="Muy Baja",AC115="Mayor"),AND(AA115="Baja",AC115="Mayor"),AND(AA115="Media",AC115="Mayor"),AND(AA115="Alta",AC115="Moderado"),AND(AA115="Alta",AC115="Mayor"),AND(AA115="Muy Alta",AC115="Leve"),AND(AA115="Muy Alta",AC115="Menor"),AND(AA115="Muy Alta",AC115="Moderado"),AND(AA115="Muy Alta",AC115="Mayor")),"Alto",IF(OR(AND(AA115="Muy Baja",AC115="Catastrófico"),AND(AA115="Baja",AC115="Catastrófico"),AND(AA115="Media",AC115="Catastrófico"),AND(AA115="Alta",AC115="Catastrófico"),AND(AA115="Muy Alta",AC115="Catastrófico")),"Extremo","")))),"")</f>
        <v/>
      </c>
      <c r="AF115" s="116"/>
      <c r="AG115" s="121"/>
      <c r="AH115" s="122"/>
      <c r="AI115" s="123"/>
      <c r="AJ115" s="123"/>
      <c r="AK115" s="121"/>
      <c r="AL115" s="122"/>
    </row>
    <row r="116" spans="1:38" x14ac:dyDescent="0.3">
      <c r="A116" s="216"/>
      <c r="B116" s="139"/>
      <c r="C116" s="139"/>
      <c r="D116" s="217"/>
      <c r="E116" s="212"/>
      <c r="F116" s="141"/>
      <c r="G116" s="217"/>
      <c r="H116" s="140"/>
      <c r="I116" s="218"/>
      <c r="J116" s="208"/>
      <c r="K116" s="209"/>
      <c r="L116" s="211"/>
      <c r="M116" s="209">
        <f ca="1">IF(NOT(ISERROR(MATCH(L116,_xlfn.ANCHORARRAY(E127),0))),K130&amp;"Por favor no seleccionar los criterios de impacto",L116)</f>
        <v>0</v>
      </c>
      <c r="N116" s="208"/>
      <c r="O116" s="209"/>
      <c r="P116" s="210"/>
      <c r="Q116" s="113">
        <v>6</v>
      </c>
      <c r="R116" s="114"/>
      <c r="S116" s="115" t="str">
        <f t="shared" si="156"/>
        <v/>
      </c>
      <c r="T116" s="116"/>
      <c r="U116" s="116"/>
      <c r="V116" s="117" t="str">
        <f t="shared" si="151"/>
        <v/>
      </c>
      <c r="W116" s="116"/>
      <c r="X116" s="116"/>
      <c r="Y116" s="116"/>
      <c r="Z116" s="118" t="str">
        <f t="shared" si="157"/>
        <v/>
      </c>
      <c r="AA116" s="119" t="str">
        <f t="shared" si="152"/>
        <v/>
      </c>
      <c r="AB116" s="117" t="str">
        <f t="shared" si="153"/>
        <v/>
      </c>
      <c r="AC116" s="119" t="str">
        <f t="shared" si="154"/>
        <v/>
      </c>
      <c r="AD116" s="117" t="str">
        <f t="shared" si="158"/>
        <v/>
      </c>
      <c r="AE116" s="120" t="str">
        <f t="shared" si="159"/>
        <v/>
      </c>
      <c r="AF116" s="116"/>
      <c r="AG116" s="121"/>
      <c r="AH116" s="122"/>
      <c r="AI116" s="123"/>
      <c r="AJ116" s="123"/>
      <c r="AK116" s="121"/>
      <c r="AL116" s="122"/>
    </row>
    <row r="117" spans="1:38" x14ac:dyDescent="0.3">
      <c r="A117" s="216">
        <v>9</v>
      </c>
      <c r="B117" s="139"/>
      <c r="C117" s="139"/>
      <c r="D117" s="217"/>
      <c r="E117" s="212"/>
      <c r="F117" s="141"/>
      <c r="G117" s="217"/>
      <c r="H117" s="140"/>
      <c r="I117" s="218"/>
      <c r="J117" s="208" t="str">
        <f>IF(I117&lt;=0,"",IF(I117&lt;=2,"Muy Baja",IF(I117&lt;=24,"Baja",IF(I117&lt;=500,"Media",IF(I117&lt;=5000,"Alta","Muy Alta")))))</f>
        <v/>
      </c>
      <c r="K117" s="209" t="str">
        <f>IF(J117="","",IF(J117="Muy Baja",0.2,IF(J117="Baja",0.4,IF(J117="Media",0.6,IF(J117="Alta",0.8,IF(J117="Muy Alta",1,))))))</f>
        <v/>
      </c>
      <c r="L117" s="211"/>
      <c r="M117" s="209">
        <f>IF(NOT(ISERROR(MATCH(L117,'Tabla Impacto'!$B$221:$B$223,0))),'Tabla Impacto'!$F$223&amp;"Por favor no seleccionar los criterios de impacto(Afectación Económica o presupuestal y Pérdida Reputacional)",L117)</f>
        <v>0</v>
      </c>
      <c r="N117" s="208" t="str">
        <f>IF(OR(M117='Tabla Impacto'!$C$11,M117='Tabla Impacto'!$D$11),"Leve",IF(OR(M117='Tabla Impacto'!$C$12,M117='Tabla Impacto'!$D$12),"Menor",IF(OR(M117='Tabla Impacto'!$C$13,M117='Tabla Impacto'!$D$13),"Moderado",IF(OR(M117='Tabla Impacto'!$C$14,M117='Tabla Impacto'!$D$14),"Mayor",IF(OR(M117='Tabla Impacto'!$C$15,M117='Tabla Impacto'!$D$15),"Catastrófico","")))))</f>
        <v/>
      </c>
      <c r="O117" s="209" t="str">
        <f>IF(N117="","",IF(N117="Leve",0.2,IF(N117="Menor",0.4,IF(N117="Moderado",0.6,IF(N117="Mayor",0.8,IF(N117="Catastrófico",1,))))))</f>
        <v/>
      </c>
      <c r="P117" s="210" t="str">
        <f>IF(OR(AND(J117="Muy Baja",N117="Leve"),AND(J117="Muy Baja",N117="Menor"),AND(J117="Baja",N117="Leve")),"Bajo",IF(OR(AND(J117="Muy baja",N117="Moderado"),AND(J117="Baja",N117="Menor"),AND(J117="Baja",N117="Moderado"),AND(J117="Media",N117="Leve"),AND(J117="Media",N117="Menor"),AND(J117="Media",N117="Moderado"),AND(J117="Alta",N117="Leve"),AND(J117="Alta",N117="Menor")),"Moderado",IF(OR(AND(J117="Muy Baja",N117="Mayor"),AND(J117="Baja",N117="Mayor"),AND(J117="Media",N117="Mayor"),AND(J117="Alta",N117="Moderado"),AND(J117="Alta",N117="Mayor"),AND(J117="Muy Alta",N117="Leve"),AND(J117="Muy Alta",N117="Menor"),AND(J117="Muy Alta",N117="Moderado"),AND(J117="Muy Alta",N117="Mayor")),"Alto",IF(OR(AND(J117="Muy Baja",N117="Catastrófico"),AND(J117="Baja",N117="Catastrófico"),AND(J117="Media",N117="Catastrófico"),AND(J117="Alta",N117="Catastrófico"),AND(J117="Muy Alta",N117="Catastrófico")),"Extremo",""))))</f>
        <v/>
      </c>
      <c r="Q117" s="113">
        <v>1</v>
      </c>
      <c r="R117" s="114"/>
      <c r="S117" s="115" t="str">
        <f>IF(OR(T117="Preventivo",T117="Detectivo"),"Probabilidad",IF(T117="Correctivo","Impacto",""))</f>
        <v/>
      </c>
      <c r="T117" s="116"/>
      <c r="U117" s="116"/>
      <c r="V117" s="117" t="str">
        <f>IF(AND(T117="Preventivo",U117="Automático"),"50%",IF(AND(T117="Preventivo",U117="Manual"),"40%",IF(AND(T117="Detectivo",U117="Automático"),"40%",IF(AND(T117="Detectivo",U117="Manual"),"30%",IF(AND(T117="Correctivo",U117="Automático"),"35%",IF(AND(T117="Correctivo",U117="Manual"),"25%",""))))))</f>
        <v/>
      </c>
      <c r="W117" s="116"/>
      <c r="X117" s="116"/>
      <c r="Y117" s="116"/>
      <c r="Z117" s="118" t="str">
        <f>IFERROR(IF(S117="Probabilidad",(K117-(+K117*V117)),IF(S117="Impacto",K117,"")),"")</f>
        <v/>
      </c>
      <c r="AA117" s="119" t="str">
        <f>IFERROR(IF(Z117="","",IF(Z117&lt;=0.2,"Muy Baja",IF(Z117&lt;=0.4,"Baja",IF(Z117&lt;=0.6,"Media",IF(Z117&lt;=0.8,"Alta","Muy Alta"))))),"")</f>
        <v/>
      </c>
      <c r="AB117" s="117" t="str">
        <f>+Z117</f>
        <v/>
      </c>
      <c r="AC117" s="119" t="str">
        <f>IFERROR(IF(AD117="","",IF(AD117&lt;=0.2,"Leve",IF(AD117&lt;=0.4,"Menor",IF(AD117&lt;=0.6,"Moderado",IF(AD117&lt;=0.8,"Mayor","Catastrófico"))))),"")</f>
        <v/>
      </c>
      <c r="AD117" s="117" t="str">
        <f>IFERROR(IF(S117="Impacto",(O117-(+O117*V117)),IF(S117="Probabilidad",O117,"")),"")</f>
        <v/>
      </c>
      <c r="AE117" s="120" t="str">
        <f>IFERROR(IF(OR(AND(AA117="Muy Baja",AC117="Leve"),AND(AA117="Muy Baja",AC117="Menor"),AND(AA117="Baja",AC117="Leve")),"Bajo",IF(OR(AND(AA117="Muy baja",AC117="Moderado"),AND(AA117="Baja",AC117="Menor"),AND(AA117="Baja",AC117="Moderado"),AND(AA117="Media",AC117="Leve"),AND(AA117="Media",AC117="Menor"),AND(AA117="Media",AC117="Moderado"),AND(AA117="Alta",AC117="Leve"),AND(AA117="Alta",AC117="Menor")),"Moderado",IF(OR(AND(AA117="Muy Baja",AC117="Mayor"),AND(AA117="Baja",AC117="Mayor"),AND(AA117="Media",AC117="Mayor"),AND(AA117="Alta",AC117="Moderado"),AND(AA117="Alta",AC117="Mayor"),AND(AA117="Muy Alta",AC117="Leve"),AND(AA117="Muy Alta",AC117="Menor"),AND(AA117="Muy Alta",AC117="Moderado"),AND(AA117="Muy Alta",AC117="Mayor")),"Alto",IF(OR(AND(AA117="Muy Baja",AC117="Catastrófico"),AND(AA117="Baja",AC117="Catastrófico"),AND(AA117="Media",AC117="Catastrófico"),AND(AA117="Alta",AC117="Catastrófico"),AND(AA117="Muy Alta",AC117="Catastrófico")),"Extremo","")))),"")</f>
        <v/>
      </c>
      <c r="AF117" s="116"/>
      <c r="AG117" s="121"/>
      <c r="AH117" s="122"/>
      <c r="AI117" s="123"/>
      <c r="AJ117" s="123"/>
      <c r="AK117" s="121"/>
      <c r="AL117" s="122"/>
    </row>
    <row r="118" spans="1:38" x14ac:dyDescent="0.3">
      <c r="A118" s="216"/>
      <c r="B118" s="139"/>
      <c r="C118" s="139"/>
      <c r="D118" s="217"/>
      <c r="E118" s="212"/>
      <c r="F118" s="141"/>
      <c r="G118" s="217"/>
      <c r="H118" s="140"/>
      <c r="I118" s="218"/>
      <c r="J118" s="208"/>
      <c r="K118" s="209"/>
      <c r="L118" s="211"/>
      <c r="M118" s="209">
        <f ca="1">IF(NOT(ISERROR(MATCH(L118,_xlfn.ANCHORARRAY(E130),0))),K132&amp;"Por favor no seleccionar los criterios de impacto",L118)</f>
        <v>0</v>
      </c>
      <c r="N118" s="208"/>
      <c r="O118" s="209"/>
      <c r="P118" s="210"/>
      <c r="Q118" s="113">
        <v>2</v>
      </c>
      <c r="R118" s="114"/>
      <c r="S118" s="115" t="str">
        <f>IF(OR(T118="Preventivo",T118="Detectivo"),"Probabilidad",IF(T118="Correctivo","Impacto",""))</f>
        <v/>
      </c>
      <c r="T118" s="116"/>
      <c r="U118" s="116"/>
      <c r="V118" s="117" t="str">
        <f t="shared" ref="V118:V122" si="160">IF(AND(T118="Preventivo",U118="Automático"),"50%",IF(AND(T118="Preventivo",U118="Manual"),"40%",IF(AND(T118="Detectivo",U118="Automático"),"40%",IF(AND(T118="Detectivo",U118="Manual"),"30%",IF(AND(T118="Correctivo",U118="Automático"),"35%",IF(AND(T118="Correctivo",U118="Manual"),"25%",""))))))</f>
        <v/>
      </c>
      <c r="W118" s="116"/>
      <c r="X118" s="116"/>
      <c r="Y118" s="116"/>
      <c r="Z118" s="118" t="str">
        <f>IFERROR(IF(AND(S117="Probabilidad",S118="Probabilidad"),(AB117-(+AB117*V118)),IF(S118="Probabilidad",(K117-(+K117*V118)),IF(S118="Impacto",AB117,""))),"")</f>
        <v/>
      </c>
      <c r="AA118" s="119" t="str">
        <f t="shared" ref="AA118:AA122" si="161">IFERROR(IF(Z118="","",IF(Z118&lt;=0.2,"Muy Baja",IF(Z118&lt;=0.4,"Baja",IF(Z118&lt;=0.6,"Media",IF(Z118&lt;=0.8,"Alta","Muy Alta"))))),"")</f>
        <v/>
      </c>
      <c r="AB118" s="117" t="str">
        <f t="shared" ref="AB118:AB122" si="162">+Z118</f>
        <v/>
      </c>
      <c r="AC118" s="119" t="str">
        <f t="shared" ref="AC118:AC122" si="163">IFERROR(IF(AD118="","",IF(AD118&lt;=0.2,"Leve",IF(AD118&lt;=0.4,"Menor",IF(AD118&lt;=0.6,"Moderado",IF(AD118&lt;=0.8,"Mayor","Catastrófico"))))),"")</f>
        <v/>
      </c>
      <c r="AD118" s="117" t="str">
        <f>IFERROR(IF(AND(S117="Impacto",S118="Impacto"),(AD111-(+AD111*V118)),IF(S118="Impacto",($O$57-(+$O$57*V118)),IF(S118="Probabilidad",AD111,""))),"")</f>
        <v/>
      </c>
      <c r="AE118" s="120" t="str">
        <f t="shared" ref="AE118:AE119" si="164">IFERROR(IF(OR(AND(AA118="Muy Baja",AC118="Leve"),AND(AA118="Muy Baja",AC118="Menor"),AND(AA118="Baja",AC118="Leve")),"Bajo",IF(OR(AND(AA118="Muy baja",AC118="Moderado"),AND(AA118="Baja",AC118="Menor"),AND(AA118="Baja",AC118="Moderado"),AND(AA118="Media",AC118="Leve"),AND(AA118="Media",AC118="Menor"),AND(AA118="Media",AC118="Moderado"),AND(AA118="Alta",AC118="Leve"),AND(AA118="Alta",AC118="Menor")),"Moderado",IF(OR(AND(AA118="Muy Baja",AC118="Mayor"),AND(AA118="Baja",AC118="Mayor"),AND(AA118="Media",AC118="Mayor"),AND(AA118="Alta",AC118="Moderado"),AND(AA118="Alta",AC118="Mayor"),AND(AA118="Muy Alta",AC118="Leve"),AND(AA118="Muy Alta",AC118="Menor"),AND(AA118="Muy Alta",AC118="Moderado"),AND(AA118="Muy Alta",AC118="Mayor")),"Alto",IF(OR(AND(AA118="Muy Baja",AC118="Catastrófico"),AND(AA118="Baja",AC118="Catastrófico"),AND(AA118="Media",AC118="Catastrófico"),AND(AA118="Alta",AC118="Catastrófico"),AND(AA118="Muy Alta",AC118="Catastrófico")),"Extremo","")))),"")</f>
        <v/>
      </c>
      <c r="AF118" s="116"/>
      <c r="AG118" s="121"/>
      <c r="AH118" s="122"/>
      <c r="AI118" s="123"/>
      <c r="AJ118" s="123"/>
      <c r="AK118" s="121"/>
      <c r="AL118" s="122"/>
    </row>
    <row r="119" spans="1:38" x14ac:dyDescent="0.3">
      <c r="A119" s="216"/>
      <c r="B119" s="139"/>
      <c r="C119" s="139"/>
      <c r="D119" s="217"/>
      <c r="E119" s="212"/>
      <c r="F119" s="141"/>
      <c r="G119" s="217"/>
      <c r="H119" s="140"/>
      <c r="I119" s="218"/>
      <c r="J119" s="208"/>
      <c r="K119" s="209"/>
      <c r="L119" s="211"/>
      <c r="M119" s="209">
        <f ca="1">IF(NOT(ISERROR(MATCH(L119,_xlfn.ANCHORARRAY(E131),0))),K133&amp;"Por favor no seleccionar los criterios de impacto",L119)</f>
        <v>0</v>
      </c>
      <c r="N119" s="208"/>
      <c r="O119" s="209"/>
      <c r="P119" s="210"/>
      <c r="Q119" s="113">
        <v>3</v>
      </c>
      <c r="R119" s="126"/>
      <c r="S119" s="115" t="str">
        <f>IF(OR(T119="Preventivo",T119="Detectivo"),"Probabilidad",IF(T119="Correctivo","Impacto",""))</f>
        <v/>
      </c>
      <c r="T119" s="116"/>
      <c r="U119" s="116"/>
      <c r="V119" s="117" t="str">
        <f t="shared" si="160"/>
        <v/>
      </c>
      <c r="W119" s="116"/>
      <c r="X119" s="116"/>
      <c r="Y119" s="116"/>
      <c r="Z119" s="118" t="str">
        <f>IFERROR(IF(AND(S118="Probabilidad",S119="Probabilidad"),(AB118-(+AB118*V119)),IF(AND(S118="Impacto",S119="Probabilidad"),(AB117-(+AB117*V119)),IF(S119="Impacto",AB118,""))),"")</f>
        <v/>
      </c>
      <c r="AA119" s="119" t="str">
        <f t="shared" si="161"/>
        <v/>
      </c>
      <c r="AB119" s="117" t="str">
        <f t="shared" si="162"/>
        <v/>
      </c>
      <c r="AC119" s="119" t="str">
        <f t="shared" si="163"/>
        <v/>
      </c>
      <c r="AD119" s="117" t="str">
        <f>IFERROR(IF(AND(S118="Impacto",S119="Impacto"),(AD118-(+AD118*V119)),IF(AND(S118="Probabilidad",S119="Impacto"),(AD117-(+AD117*V119)),IF(S119="Probabilidad",AD118,""))),"")</f>
        <v/>
      </c>
      <c r="AE119" s="120" t="str">
        <f t="shared" si="164"/>
        <v/>
      </c>
      <c r="AF119" s="116"/>
      <c r="AG119" s="121"/>
      <c r="AH119" s="122"/>
      <c r="AI119" s="123"/>
      <c r="AJ119" s="123"/>
      <c r="AK119" s="121"/>
      <c r="AL119" s="122"/>
    </row>
    <row r="120" spans="1:38" x14ac:dyDescent="0.3">
      <c r="A120" s="216"/>
      <c r="B120" s="139"/>
      <c r="C120" s="139"/>
      <c r="D120" s="217"/>
      <c r="E120" s="212"/>
      <c r="F120" s="141"/>
      <c r="G120" s="217"/>
      <c r="H120" s="140"/>
      <c r="I120" s="218"/>
      <c r="J120" s="208"/>
      <c r="K120" s="209"/>
      <c r="L120" s="211"/>
      <c r="M120" s="209">
        <f ca="1">IF(NOT(ISERROR(MATCH(L120,_xlfn.ANCHORARRAY(E132),0))),K134&amp;"Por favor no seleccionar los criterios de impacto",L120)</f>
        <v>0</v>
      </c>
      <c r="N120" s="208"/>
      <c r="O120" s="209"/>
      <c r="P120" s="210"/>
      <c r="Q120" s="113">
        <v>4</v>
      </c>
      <c r="R120" s="114"/>
      <c r="S120" s="115" t="str">
        <f t="shared" ref="S120:S122" si="165">IF(OR(T120="Preventivo",T120="Detectivo"),"Probabilidad",IF(T120="Correctivo","Impacto",""))</f>
        <v/>
      </c>
      <c r="T120" s="116"/>
      <c r="U120" s="116"/>
      <c r="V120" s="117" t="str">
        <f t="shared" si="160"/>
        <v/>
      </c>
      <c r="W120" s="116"/>
      <c r="X120" s="116"/>
      <c r="Y120" s="116"/>
      <c r="Z120" s="118" t="str">
        <f t="shared" ref="Z120:Z122" si="166">IFERROR(IF(AND(S119="Probabilidad",S120="Probabilidad"),(AB119-(+AB119*V120)),IF(AND(S119="Impacto",S120="Probabilidad"),(AB118-(+AB118*V120)),IF(S120="Impacto",AB119,""))),"")</f>
        <v/>
      </c>
      <c r="AA120" s="119" t="str">
        <f t="shared" si="161"/>
        <v/>
      </c>
      <c r="AB120" s="117" t="str">
        <f t="shared" si="162"/>
        <v/>
      </c>
      <c r="AC120" s="119" t="str">
        <f t="shared" si="163"/>
        <v/>
      </c>
      <c r="AD120" s="117" t="str">
        <f t="shared" ref="AD120:AD122" si="167">IFERROR(IF(AND(S119="Impacto",S120="Impacto"),(AD119-(+AD119*V120)),IF(AND(S119="Probabilidad",S120="Impacto"),(AD118-(+AD118*V120)),IF(S120="Probabilidad",AD119,""))),"")</f>
        <v/>
      </c>
      <c r="AE120" s="120" t="str">
        <f>IFERROR(IF(OR(AND(AA120="Muy Baja",AC120="Leve"),AND(AA120="Muy Baja",AC120="Menor"),AND(AA120="Baja",AC120="Leve")),"Bajo",IF(OR(AND(AA120="Muy baja",AC120="Moderado"),AND(AA120="Baja",AC120="Menor"),AND(AA120="Baja",AC120="Moderado"),AND(AA120="Media",AC120="Leve"),AND(AA120="Media",AC120="Menor"),AND(AA120="Media",AC120="Moderado"),AND(AA120="Alta",AC120="Leve"),AND(AA120="Alta",AC120="Menor")),"Moderado",IF(OR(AND(AA120="Muy Baja",AC120="Mayor"),AND(AA120="Baja",AC120="Mayor"),AND(AA120="Media",AC120="Mayor"),AND(AA120="Alta",AC120="Moderado"),AND(AA120="Alta",AC120="Mayor"),AND(AA120="Muy Alta",AC120="Leve"),AND(AA120="Muy Alta",AC120="Menor"),AND(AA120="Muy Alta",AC120="Moderado"),AND(AA120="Muy Alta",AC120="Mayor")),"Alto",IF(OR(AND(AA120="Muy Baja",AC120="Catastrófico"),AND(AA120="Baja",AC120="Catastrófico"),AND(AA120="Media",AC120="Catastrófico"),AND(AA120="Alta",AC120="Catastrófico"),AND(AA120="Muy Alta",AC120="Catastrófico")),"Extremo","")))),"")</f>
        <v/>
      </c>
      <c r="AF120" s="116"/>
      <c r="AG120" s="121"/>
      <c r="AH120" s="122"/>
      <c r="AI120" s="123"/>
      <c r="AJ120" s="123"/>
      <c r="AK120" s="121"/>
      <c r="AL120" s="122"/>
    </row>
    <row r="121" spans="1:38" x14ac:dyDescent="0.3">
      <c r="A121" s="216"/>
      <c r="B121" s="139"/>
      <c r="C121" s="139"/>
      <c r="D121" s="217"/>
      <c r="E121" s="212"/>
      <c r="F121" s="141"/>
      <c r="G121" s="217"/>
      <c r="H121" s="140"/>
      <c r="I121" s="218"/>
      <c r="J121" s="208"/>
      <c r="K121" s="209"/>
      <c r="L121" s="211"/>
      <c r="M121" s="209">
        <f ca="1">IF(NOT(ISERROR(MATCH(L121,_xlfn.ANCHORARRAY(E133),0))),K135&amp;"Por favor no seleccionar los criterios de impacto",L121)</f>
        <v>0</v>
      </c>
      <c r="N121" s="208"/>
      <c r="O121" s="209"/>
      <c r="P121" s="210"/>
      <c r="Q121" s="113">
        <v>5</v>
      </c>
      <c r="R121" s="114"/>
      <c r="S121" s="115" t="str">
        <f t="shared" si="165"/>
        <v/>
      </c>
      <c r="T121" s="116"/>
      <c r="U121" s="116"/>
      <c r="V121" s="117" t="str">
        <f t="shared" si="160"/>
        <v/>
      </c>
      <c r="W121" s="116"/>
      <c r="X121" s="116"/>
      <c r="Y121" s="116"/>
      <c r="Z121" s="118" t="str">
        <f t="shared" si="166"/>
        <v/>
      </c>
      <c r="AA121" s="119" t="str">
        <f t="shared" si="161"/>
        <v/>
      </c>
      <c r="AB121" s="117" t="str">
        <f t="shared" si="162"/>
        <v/>
      </c>
      <c r="AC121" s="119" t="str">
        <f t="shared" si="163"/>
        <v/>
      </c>
      <c r="AD121" s="117" t="str">
        <f t="shared" si="167"/>
        <v/>
      </c>
      <c r="AE121" s="120" t="str">
        <f t="shared" ref="AE121:AE122" si="168">IFERROR(IF(OR(AND(AA121="Muy Baja",AC121="Leve"),AND(AA121="Muy Baja",AC121="Menor"),AND(AA121="Baja",AC121="Leve")),"Bajo",IF(OR(AND(AA121="Muy baja",AC121="Moderado"),AND(AA121="Baja",AC121="Menor"),AND(AA121="Baja",AC121="Moderado"),AND(AA121="Media",AC121="Leve"),AND(AA121="Media",AC121="Menor"),AND(AA121="Media",AC121="Moderado"),AND(AA121="Alta",AC121="Leve"),AND(AA121="Alta",AC121="Menor")),"Moderado",IF(OR(AND(AA121="Muy Baja",AC121="Mayor"),AND(AA121="Baja",AC121="Mayor"),AND(AA121="Media",AC121="Mayor"),AND(AA121="Alta",AC121="Moderado"),AND(AA121="Alta",AC121="Mayor"),AND(AA121="Muy Alta",AC121="Leve"),AND(AA121="Muy Alta",AC121="Menor"),AND(AA121="Muy Alta",AC121="Moderado"),AND(AA121="Muy Alta",AC121="Mayor")),"Alto",IF(OR(AND(AA121="Muy Baja",AC121="Catastrófico"),AND(AA121="Baja",AC121="Catastrófico"),AND(AA121="Media",AC121="Catastrófico"),AND(AA121="Alta",AC121="Catastrófico"),AND(AA121="Muy Alta",AC121="Catastrófico")),"Extremo","")))),"")</f>
        <v/>
      </c>
      <c r="AF121" s="116"/>
      <c r="AG121" s="121"/>
      <c r="AH121" s="122"/>
      <c r="AI121" s="123"/>
      <c r="AJ121" s="123"/>
      <c r="AK121" s="121"/>
      <c r="AL121" s="122"/>
    </row>
    <row r="122" spans="1:38" x14ac:dyDescent="0.3">
      <c r="A122" s="216"/>
      <c r="B122" s="139"/>
      <c r="C122" s="139"/>
      <c r="D122" s="217"/>
      <c r="E122" s="212"/>
      <c r="F122" s="141"/>
      <c r="G122" s="217"/>
      <c r="H122" s="140"/>
      <c r="I122" s="218"/>
      <c r="J122" s="208"/>
      <c r="K122" s="209"/>
      <c r="L122" s="211"/>
      <c r="M122" s="209">
        <f ca="1">IF(NOT(ISERROR(MATCH(L122,_xlfn.ANCHORARRAY(E134),0))),K136&amp;"Por favor no seleccionar los criterios de impacto",L122)</f>
        <v>0</v>
      </c>
      <c r="N122" s="208"/>
      <c r="O122" s="209"/>
      <c r="P122" s="210"/>
      <c r="Q122" s="113">
        <v>6</v>
      </c>
      <c r="R122" s="114"/>
      <c r="S122" s="115" t="str">
        <f t="shared" si="165"/>
        <v/>
      </c>
      <c r="T122" s="116"/>
      <c r="U122" s="116"/>
      <c r="V122" s="117" t="str">
        <f t="shared" si="160"/>
        <v/>
      </c>
      <c r="W122" s="116"/>
      <c r="X122" s="116"/>
      <c r="Y122" s="116"/>
      <c r="Z122" s="118" t="str">
        <f t="shared" si="166"/>
        <v/>
      </c>
      <c r="AA122" s="119" t="str">
        <f t="shared" si="161"/>
        <v/>
      </c>
      <c r="AB122" s="117" t="str">
        <f t="shared" si="162"/>
        <v/>
      </c>
      <c r="AC122" s="119" t="str">
        <f t="shared" si="163"/>
        <v/>
      </c>
      <c r="AD122" s="117" t="str">
        <f t="shared" si="167"/>
        <v/>
      </c>
      <c r="AE122" s="120" t="str">
        <f t="shared" si="168"/>
        <v/>
      </c>
      <c r="AF122" s="116"/>
      <c r="AG122" s="121"/>
      <c r="AH122" s="122"/>
      <c r="AI122" s="123"/>
      <c r="AJ122" s="123"/>
      <c r="AK122" s="121"/>
      <c r="AL122" s="122"/>
    </row>
    <row r="123" spans="1:38" x14ac:dyDescent="0.3">
      <c r="A123" s="216">
        <v>10</v>
      </c>
      <c r="B123" s="139"/>
      <c r="C123" s="139"/>
      <c r="D123" s="217"/>
      <c r="E123" s="212"/>
      <c r="F123" s="141"/>
      <c r="G123" s="217"/>
      <c r="H123" s="140"/>
      <c r="I123" s="218"/>
      <c r="J123" s="208" t="str">
        <f>IF(I123&lt;=0,"",IF(I123&lt;=2,"Muy Baja",IF(I123&lt;=24,"Baja",IF(I123&lt;=500,"Media",IF(I123&lt;=5000,"Alta","Muy Alta")))))</f>
        <v/>
      </c>
      <c r="K123" s="209" t="str">
        <f>IF(J123="","",IF(J123="Muy Baja",0.2,IF(J123="Baja",0.4,IF(J123="Media",0.6,IF(J123="Alta",0.8,IF(J123="Muy Alta",1,))))))</f>
        <v/>
      </c>
      <c r="L123" s="211"/>
      <c r="M123" s="209">
        <f>IF(NOT(ISERROR(MATCH(L123,'Tabla Impacto'!$B$221:$B$223,0))),'Tabla Impacto'!$F$223&amp;"Por favor no seleccionar los criterios de impacto(Afectación Económica o presupuestal y Pérdida Reputacional)",L123)</f>
        <v>0</v>
      </c>
      <c r="N123" s="208" t="str">
        <f>IF(OR(M123='Tabla Impacto'!$C$11,M123='Tabla Impacto'!$D$11),"Leve",IF(OR(M123='Tabla Impacto'!$C$12,M123='Tabla Impacto'!$D$12),"Menor",IF(OR(M123='Tabla Impacto'!$C$13,M123='Tabla Impacto'!$D$13),"Moderado",IF(OR(M123='Tabla Impacto'!$C$14,M123='Tabla Impacto'!$D$14),"Mayor",IF(OR(M123='Tabla Impacto'!$C$15,M123='Tabla Impacto'!$D$15),"Catastrófico","")))))</f>
        <v/>
      </c>
      <c r="O123" s="209" t="str">
        <f>IF(N123="","",IF(N123="Leve",0.2,IF(N123="Menor",0.4,IF(N123="Moderado",0.6,IF(N123="Mayor",0.8,IF(N123="Catastrófico",1,))))))</f>
        <v/>
      </c>
      <c r="P123" s="210" t="str">
        <f>IF(OR(AND(J123="Muy Baja",N123="Leve"),AND(J123="Muy Baja",N123="Menor"),AND(J123="Baja",N123="Leve")),"Bajo",IF(OR(AND(J123="Muy baja",N123="Moderado"),AND(J123="Baja",N123="Menor"),AND(J123="Baja",N123="Moderado"),AND(J123="Media",N123="Leve"),AND(J123="Media",N123="Menor"),AND(J123="Media",N123="Moderado"),AND(J123="Alta",N123="Leve"),AND(J123="Alta",N123="Menor")),"Moderado",IF(OR(AND(J123="Muy Baja",N123="Mayor"),AND(J123="Baja",N123="Mayor"),AND(J123="Media",N123="Mayor"),AND(J123="Alta",N123="Moderado"),AND(J123="Alta",N123="Mayor"),AND(J123="Muy Alta",N123="Leve"),AND(J123="Muy Alta",N123="Menor"),AND(J123="Muy Alta",N123="Moderado"),AND(J123="Muy Alta",N123="Mayor")),"Alto",IF(OR(AND(J123="Muy Baja",N123="Catastrófico"),AND(J123="Baja",N123="Catastrófico"),AND(J123="Media",N123="Catastrófico"),AND(J123="Alta",N123="Catastrófico"),AND(J123="Muy Alta",N123="Catastrófico")),"Extremo",""))))</f>
        <v/>
      </c>
      <c r="Q123" s="113">
        <v>1</v>
      </c>
      <c r="R123" s="114"/>
      <c r="S123" s="115" t="str">
        <f>IF(OR(T123="Preventivo",T123="Detectivo"),"Probabilidad",IF(T123="Correctivo","Impacto",""))</f>
        <v/>
      </c>
      <c r="T123" s="116"/>
      <c r="U123" s="116"/>
      <c r="V123" s="117" t="str">
        <f>IF(AND(T123="Preventivo",U123="Automático"),"50%",IF(AND(T123="Preventivo",U123="Manual"),"40%",IF(AND(T123="Detectivo",U123="Automático"),"40%",IF(AND(T123="Detectivo",U123="Manual"),"30%",IF(AND(T123="Correctivo",U123="Automático"),"35%",IF(AND(T123="Correctivo",U123="Manual"),"25%",""))))))</f>
        <v/>
      </c>
      <c r="W123" s="116"/>
      <c r="X123" s="116"/>
      <c r="Y123" s="116"/>
      <c r="Z123" s="118" t="str">
        <f>IFERROR(IF(S123="Probabilidad",(K123-(+K123*V123)),IF(S123="Impacto",K123,"")),"")</f>
        <v/>
      </c>
      <c r="AA123" s="119" t="str">
        <f>IFERROR(IF(Z123="","",IF(Z123&lt;=0.2,"Muy Baja",IF(Z123&lt;=0.4,"Baja",IF(Z123&lt;=0.6,"Media",IF(Z123&lt;=0.8,"Alta","Muy Alta"))))),"")</f>
        <v/>
      </c>
      <c r="AB123" s="117" t="str">
        <f>+Z123</f>
        <v/>
      </c>
      <c r="AC123" s="119" t="str">
        <f>IFERROR(IF(AD123="","",IF(AD123&lt;=0.2,"Leve",IF(AD123&lt;=0.4,"Menor",IF(AD123&lt;=0.6,"Moderado",IF(AD123&lt;=0.8,"Mayor","Catastrófico"))))),"")</f>
        <v/>
      </c>
      <c r="AD123" s="117" t="str">
        <f>IFERROR(IF(S123="Impacto",(O123-(+O123*V123)),IF(S123="Probabilidad",O123,"")),"")</f>
        <v/>
      </c>
      <c r="AE123" s="120" t="str">
        <f>IFERROR(IF(OR(AND(AA123="Muy Baja",AC123="Leve"),AND(AA123="Muy Baja",AC123="Menor"),AND(AA123="Baja",AC123="Leve")),"Bajo",IF(OR(AND(AA123="Muy baja",AC123="Moderado"),AND(AA123="Baja",AC123="Menor"),AND(AA123="Baja",AC123="Moderado"),AND(AA123="Media",AC123="Leve"),AND(AA123="Media",AC123="Menor"),AND(AA123="Media",AC123="Moderado"),AND(AA123="Alta",AC123="Leve"),AND(AA123="Alta",AC123="Menor")),"Moderado",IF(OR(AND(AA123="Muy Baja",AC123="Mayor"),AND(AA123="Baja",AC123="Mayor"),AND(AA123="Media",AC123="Mayor"),AND(AA123="Alta",AC123="Moderado"),AND(AA123="Alta",AC123="Mayor"),AND(AA123="Muy Alta",AC123="Leve"),AND(AA123="Muy Alta",AC123="Menor"),AND(AA123="Muy Alta",AC123="Moderado"),AND(AA123="Muy Alta",AC123="Mayor")),"Alto",IF(OR(AND(AA123="Muy Baja",AC123="Catastrófico"),AND(AA123="Baja",AC123="Catastrófico"),AND(AA123="Media",AC123="Catastrófico"),AND(AA123="Alta",AC123="Catastrófico"),AND(AA123="Muy Alta",AC123="Catastrófico")),"Extremo","")))),"")</f>
        <v/>
      </c>
      <c r="AF123" s="116"/>
      <c r="AG123" s="121"/>
      <c r="AH123" s="122"/>
      <c r="AI123" s="123"/>
      <c r="AJ123" s="123"/>
      <c r="AK123" s="121"/>
      <c r="AL123" s="122"/>
    </row>
    <row r="124" spans="1:38" x14ac:dyDescent="0.3">
      <c r="A124" s="216"/>
      <c r="B124" s="139"/>
      <c r="C124" s="139"/>
      <c r="D124" s="217"/>
      <c r="E124" s="212"/>
      <c r="F124" s="141"/>
      <c r="G124" s="217"/>
      <c r="H124" s="140"/>
      <c r="I124" s="218"/>
      <c r="J124" s="208"/>
      <c r="K124" s="209"/>
      <c r="L124" s="211"/>
      <c r="M124" s="209">
        <f ca="1">IF(NOT(ISERROR(MATCH(L124,_xlfn.ANCHORARRAY(E136),0))),K138&amp;"Por favor no seleccionar los criterios de impacto",L124)</f>
        <v>0</v>
      </c>
      <c r="N124" s="208"/>
      <c r="O124" s="209"/>
      <c r="P124" s="210"/>
      <c r="Q124" s="113">
        <v>2</v>
      </c>
      <c r="R124" s="114"/>
      <c r="S124" s="115" t="str">
        <f>IF(OR(T124="Preventivo",T124="Detectivo"),"Probabilidad",IF(T124="Correctivo","Impacto",""))</f>
        <v/>
      </c>
      <c r="T124" s="116"/>
      <c r="U124" s="116"/>
      <c r="V124" s="117" t="str">
        <f t="shared" ref="V124:V128" si="169">IF(AND(T124="Preventivo",U124="Automático"),"50%",IF(AND(T124="Preventivo",U124="Manual"),"40%",IF(AND(T124="Detectivo",U124="Automático"),"40%",IF(AND(T124="Detectivo",U124="Manual"),"30%",IF(AND(T124="Correctivo",U124="Automático"),"35%",IF(AND(T124="Correctivo",U124="Manual"),"25%",""))))))</f>
        <v/>
      </c>
      <c r="W124" s="116"/>
      <c r="X124" s="116"/>
      <c r="Y124" s="116"/>
      <c r="Z124" s="118" t="str">
        <f>IFERROR(IF(AND(S123="Probabilidad",S124="Probabilidad"),(AB123-(+AB123*V124)),IF(S124="Probabilidad",(K123-(+K123*V124)),IF(S124="Impacto",AB123,""))),"")</f>
        <v/>
      </c>
      <c r="AA124" s="119" t="str">
        <f t="shared" ref="AA124:AA128" si="170">IFERROR(IF(Z124="","",IF(Z124&lt;=0.2,"Muy Baja",IF(Z124&lt;=0.4,"Baja",IF(Z124&lt;=0.6,"Media",IF(Z124&lt;=0.8,"Alta","Muy Alta"))))),"")</f>
        <v/>
      </c>
      <c r="AB124" s="117" t="str">
        <f t="shared" ref="AB124:AB128" si="171">+Z124</f>
        <v/>
      </c>
      <c r="AC124" s="119" t="str">
        <f t="shared" ref="AC124:AC128" si="172">IFERROR(IF(AD124="","",IF(AD124&lt;=0.2,"Leve",IF(AD124&lt;=0.4,"Menor",IF(AD124&lt;=0.6,"Moderado",IF(AD124&lt;=0.8,"Mayor","Catastrófico"))))),"")</f>
        <v/>
      </c>
      <c r="AD124" s="117" t="str">
        <f>IFERROR(IF(AND(S123="Impacto",S124="Impacto"),(AD117-(+AD117*V124)),IF(S124="Impacto",($O$63-(+$O$63*V124)),IF(S124="Probabilidad",AD117,""))),"")</f>
        <v/>
      </c>
      <c r="AE124" s="120" t="str">
        <f t="shared" ref="AE124:AE125" si="173">IFERROR(IF(OR(AND(AA124="Muy Baja",AC124="Leve"),AND(AA124="Muy Baja",AC124="Menor"),AND(AA124="Baja",AC124="Leve")),"Bajo",IF(OR(AND(AA124="Muy baja",AC124="Moderado"),AND(AA124="Baja",AC124="Menor"),AND(AA124="Baja",AC124="Moderado"),AND(AA124="Media",AC124="Leve"),AND(AA124="Media",AC124="Menor"),AND(AA124="Media",AC124="Moderado"),AND(AA124="Alta",AC124="Leve"),AND(AA124="Alta",AC124="Menor")),"Moderado",IF(OR(AND(AA124="Muy Baja",AC124="Mayor"),AND(AA124="Baja",AC124="Mayor"),AND(AA124="Media",AC124="Mayor"),AND(AA124="Alta",AC124="Moderado"),AND(AA124="Alta",AC124="Mayor"),AND(AA124="Muy Alta",AC124="Leve"),AND(AA124="Muy Alta",AC124="Menor"),AND(AA124="Muy Alta",AC124="Moderado"),AND(AA124="Muy Alta",AC124="Mayor")),"Alto",IF(OR(AND(AA124="Muy Baja",AC124="Catastrófico"),AND(AA124="Baja",AC124="Catastrófico"),AND(AA124="Media",AC124="Catastrófico"),AND(AA124="Alta",AC124="Catastrófico"),AND(AA124="Muy Alta",AC124="Catastrófico")),"Extremo","")))),"")</f>
        <v/>
      </c>
      <c r="AF124" s="116"/>
      <c r="AG124" s="121"/>
      <c r="AH124" s="122"/>
      <c r="AI124" s="123"/>
      <c r="AJ124" s="123"/>
      <c r="AK124" s="121"/>
      <c r="AL124" s="122"/>
    </row>
    <row r="125" spans="1:38" x14ac:dyDescent="0.3">
      <c r="A125" s="216"/>
      <c r="B125" s="139"/>
      <c r="C125" s="139"/>
      <c r="D125" s="217"/>
      <c r="E125" s="212"/>
      <c r="F125" s="141"/>
      <c r="G125" s="217"/>
      <c r="H125" s="140"/>
      <c r="I125" s="218"/>
      <c r="J125" s="208"/>
      <c r="K125" s="209"/>
      <c r="L125" s="211"/>
      <c r="M125" s="209">
        <f ca="1">IF(NOT(ISERROR(MATCH(L125,_xlfn.ANCHORARRAY(E137),0))),K139&amp;"Por favor no seleccionar los criterios de impacto",L125)</f>
        <v>0</v>
      </c>
      <c r="N125" s="208"/>
      <c r="O125" s="209"/>
      <c r="P125" s="210"/>
      <c r="Q125" s="113">
        <v>3</v>
      </c>
      <c r="R125" s="126"/>
      <c r="S125" s="115" t="str">
        <f>IF(OR(T125="Preventivo",T125="Detectivo"),"Probabilidad",IF(T125="Correctivo","Impacto",""))</f>
        <v/>
      </c>
      <c r="T125" s="116"/>
      <c r="U125" s="116"/>
      <c r="V125" s="117" t="str">
        <f t="shared" si="169"/>
        <v/>
      </c>
      <c r="W125" s="116"/>
      <c r="X125" s="116"/>
      <c r="Y125" s="116"/>
      <c r="Z125" s="118" t="str">
        <f>IFERROR(IF(AND(S124="Probabilidad",S125="Probabilidad"),(AB124-(+AB124*V125)),IF(AND(S124="Impacto",S125="Probabilidad"),(AB123-(+AB123*V125)),IF(S125="Impacto",AB124,""))),"")</f>
        <v/>
      </c>
      <c r="AA125" s="119" t="str">
        <f t="shared" si="170"/>
        <v/>
      </c>
      <c r="AB125" s="117" t="str">
        <f t="shared" si="171"/>
        <v/>
      </c>
      <c r="AC125" s="119" t="str">
        <f t="shared" si="172"/>
        <v/>
      </c>
      <c r="AD125" s="117" t="str">
        <f>IFERROR(IF(AND(S124="Impacto",S125="Impacto"),(AD124-(+AD124*V125)),IF(AND(S124="Probabilidad",S125="Impacto"),(AD123-(+AD123*V125)),IF(S125="Probabilidad",AD124,""))),"")</f>
        <v/>
      </c>
      <c r="AE125" s="120" t="str">
        <f t="shared" si="173"/>
        <v/>
      </c>
      <c r="AF125" s="116"/>
      <c r="AG125" s="121"/>
      <c r="AH125" s="122"/>
      <c r="AI125" s="123"/>
      <c r="AJ125" s="123"/>
      <c r="AK125" s="121"/>
      <c r="AL125" s="122"/>
    </row>
    <row r="126" spans="1:38" x14ac:dyDescent="0.3">
      <c r="A126" s="216"/>
      <c r="B126" s="139"/>
      <c r="C126" s="139"/>
      <c r="D126" s="217"/>
      <c r="E126" s="212"/>
      <c r="F126" s="141"/>
      <c r="G126" s="217"/>
      <c r="H126" s="140"/>
      <c r="I126" s="218"/>
      <c r="J126" s="208"/>
      <c r="K126" s="209"/>
      <c r="L126" s="211"/>
      <c r="M126" s="209">
        <f ca="1">IF(NOT(ISERROR(MATCH(L126,_xlfn.ANCHORARRAY(E138),0))),K140&amp;"Por favor no seleccionar los criterios de impacto",L126)</f>
        <v>0</v>
      </c>
      <c r="N126" s="208"/>
      <c r="O126" s="209"/>
      <c r="P126" s="210"/>
      <c r="Q126" s="113">
        <v>4</v>
      </c>
      <c r="R126" s="114"/>
      <c r="S126" s="115" t="str">
        <f t="shared" ref="S126:S128" si="174">IF(OR(T126="Preventivo",T126="Detectivo"),"Probabilidad",IF(T126="Correctivo","Impacto",""))</f>
        <v/>
      </c>
      <c r="T126" s="116"/>
      <c r="U126" s="116"/>
      <c r="V126" s="117" t="str">
        <f t="shared" si="169"/>
        <v/>
      </c>
      <c r="W126" s="116"/>
      <c r="X126" s="116"/>
      <c r="Y126" s="116"/>
      <c r="Z126" s="118" t="str">
        <f t="shared" ref="Z126:Z128" si="175">IFERROR(IF(AND(S125="Probabilidad",S126="Probabilidad"),(AB125-(+AB125*V126)),IF(AND(S125="Impacto",S126="Probabilidad"),(AB124-(+AB124*V126)),IF(S126="Impacto",AB125,""))),"")</f>
        <v/>
      </c>
      <c r="AA126" s="119" t="str">
        <f t="shared" si="170"/>
        <v/>
      </c>
      <c r="AB126" s="117" t="str">
        <f t="shared" si="171"/>
        <v/>
      </c>
      <c r="AC126" s="119" t="str">
        <f t="shared" si="172"/>
        <v/>
      </c>
      <c r="AD126" s="117" t="str">
        <f t="shared" ref="AD126:AD128" si="176">IFERROR(IF(AND(S125="Impacto",S126="Impacto"),(AD125-(+AD125*V126)),IF(AND(S125="Probabilidad",S126="Impacto"),(AD124-(+AD124*V126)),IF(S126="Probabilidad",AD125,""))),"")</f>
        <v/>
      </c>
      <c r="AE126" s="120" t="str">
        <f>IFERROR(IF(OR(AND(AA126="Muy Baja",AC126="Leve"),AND(AA126="Muy Baja",AC126="Menor"),AND(AA126="Baja",AC126="Leve")),"Bajo",IF(OR(AND(AA126="Muy baja",AC126="Moderado"),AND(AA126="Baja",AC126="Menor"),AND(AA126="Baja",AC126="Moderado"),AND(AA126="Media",AC126="Leve"),AND(AA126="Media",AC126="Menor"),AND(AA126="Media",AC126="Moderado"),AND(AA126="Alta",AC126="Leve"),AND(AA126="Alta",AC126="Menor")),"Moderado",IF(OR(AND(AA126="Muy Baja",AC126="Mayor"),AND(AA126="Baja",AC126="Mayor"),AND(AA126="Media",AC126="Mayor"),AND(AA126="Alta",AC126="Moderado"),AND(AA126="Alta",AC126="Mayor"),AND(AA126="Muy Alta",AC126="Leve"),AND(AA126="Muy Alta",AC126="Menor"),AND(AA126="Muy Alta",AC126="Moderado"),AND(AA126="Muy Alta",AC126="Mayor")),"Alto",IF(OR(AND(AA126="Muy Baja",AC126="Catastrófico"),AND(AA126="Baja",AC126="Catastrófico"),AND(AA126="Media",AC126="Catastrófico"),AND(AA126="Alta",AC126="Catastrófico"),AND(AA126="Muy Alta",AC126="Catastrófico")),"Extremo","")))),"")</f>
        <v/>
      </c>
      <c r="AF126" s="116"/>
      <c r="AG126" s="121"/>
      <c r="AH126" s="122"/>
      <c r="AI126" s="123"/>
      <c r="AJ126" s="123"/>
      <c r="AK126" s="121"/>
      <c r="AL126" s="122"/>
    </row>
    <row r="127" spans="1:38" x14ac:dyDescent="0.3">
      <c r="A127" s="216"/>
      <c r="B127" s="139"/>
      <c r="C127" s="139"/>
      <c r="D127" s="217"/>
      <c r="E127" s="212"/>
      <c r="F127" s="141"/>
      <c r="G127" s="217"/>
      <c r="H127" s="140"/>
      <c r="I127" s="218"/>
      <c r="J127" s="208"/>
      <c r="K127" s="209"/>
      <c r="L127" s="211"/>
      <c r="M127" s="209">
        <f ca="1">IF(NOT(ISERROR(MATCH(L127,_xlfn.ANCHORARRAY(E139),0))),K141&amp;"Por favor no seleccionar los criterios de impacto",L127)</f>
        <v>0</v>
      </c>
      <c r="N127" s="208"/>
      <c r="O127" s="209"/>
      <c r="P127" s="210"/>
      <c r="Q127" s="113">
        <v>5</v>
      </c>
      <c r="R127" s="114"/>
      <c r="S127" s="115" t="str">
        <f t="shared" si="174"/>
        <v/>
      </c>
      <c r="T127" s="116"/>
      <c r="U127" s="116"/>
      <c r="V127" s="117" t="str">
        <f t="shared" si="169"/>
        <v/>
      </c>
      <c r="W127" s="116"/>
      <c r="X127" s="116"/>
      <c r="Y127" s="116"/>
      <c r="Z127" s="118" t="str">
        <f t="shared" si="175"/>
        <v/>
      </c>
      <c r="AA127" s="119" t="str">
        <f t="shared" si="170"/>
        <v/>
      </c>
      <c r="AB127" s="117" t="str">
        <f t="shared" si="171"/>
        <v/>
      </c>
      <c r="AC127" s="119" t="str">
        <f t="shared" si="172"/>
        <v/>
      </c>
      <c r="AD127" s="117" t="str">
        <f t="shared" si="176"/>
        <v/>
      </c>
      <c r="AE127" s="120" t="str">
        <f t="shared" ref="AE127:AE128" si="177">IFERROR(IF(OR(AND(AA127="Muy Baja",AC127="Leve"),AND(AA127="Muy Baja",AC127="Menor"),AND(AA127="Baja",AC127="Leve")),"Bajo",IF(OR(AND(AA127="Muy baja",AC127="Moderado"),AND(AA127="Baja",AC127="Menor"),AND(AA127="Baja",AC127="Moderado"),AND(AA127="Media",AC127="Leve"),AND(AA127="Media",AC127="Menor"),AND(AA127="Media",AC127="Moderado"),AND(AA127="Alta",AC127="Leve"),AND(AA127="Alta",AC127="Menor")),"Moderado",IF(OR(AND(AA127="Muy Baja",AC127="Mayor"),AND(AA127="Baja",AC127="Mayor"),AND(AA127="Media",AC127="Mayor"),AND(AA127="Alta",AC127="Moderado"),AND(AA127="Alta",AC127="Mayor"),AND(AA127="Muy Alta",AC127="Leve"),AND(AA127="Muy Alta",AC127="Menor"),AND(AA127="Muy Alta",AC127="Moderado"),AND(AA127="Muy Alta",AC127="Mayor")),"Alto",IF(OR(AND(AA127="Muy Baja",AC127="Catastrófico"),AND(AA127="Baja",AC127="Catastrófico"),AND(AA127="Media",AC127="Catastrófico"),AND(AA127="Alta",AC127="Catastrófico"),AND(AA127="Muy Alta",AC127="Catastrófico")),"Extremo","")))),"")</f>
        <v/>
      </c>
      <c r="AF127" s="116"/>
      <c r="AG127" s="121"/>
      <c r="AH127" s="122"/>
      <c r="AI127" s="123"/>
      <c r="AJ127" s="123"/>
      <c r="AK127" s="121"/>
      <c r="AL127" s="122"/>
    </row>
    <row r="128" spans="1:38" x14ac:dyDescent="0.3">
      <c r="A128" s="216"/>
      <c r="B128" s="139"/>
      <c r="C128" s="139"/>
      <c r="D128" s="217"/>
      <c r="E128" s="212"/>
      <c r="F128" s="141"/>
      <c r="G128" s="217"/>
      <c r="H128" s="140"/>
      <c r="I128" s="218"/>
      <c r="J128" s="208"/>
      <c r="K128" s="209"/>
      <c r="L128" s="211"/>
      <c r="M128" s="209">
        <f ca="1">IF(NOT(ISERROR(MATCH(L128,_xlfn.ANCHORARRAY(E140),0))),K142&amp;"Por favor no seleccionar los criterios de impacto",L128)</f>
        <v>0</v>
      </c>
      <c r="N128" s="208"/>
      <c r="O128" s="209"/>
      <c r="P128" s="210"/>
      <c r="Q128" s="113">
        <v>6</v>
      </c>
      <c r="R128" s="114"/>
      <c r="S128" s="115" t="str">
        <f t="shared" si="174"/>
        <v/>
      </c>
      <c r="T128" s="116"/>
      <c r="U128" s="116"/>
      <c r="V128" s="117" t="str">
        <f t="shared" si="169"/>
        <v/>
      </c>
      <c r="W128" s="116"/>
      <c r="X128" s="116"/>
      <c r="Y128" s="116"/>
      <c r="Z128" s="118" t="str">
        <f t="shared" si="175"/>
        <v/>
      </c>
      <c r="AA128" s="119" t="str">
        <f t="shared" si="170"/>
        <v/>
      </c>
      <c r="AB128" s="117" t="str">
        <f t="shared" si="171"/>
        <v/>
      </c>
      <c r="AC128" s="119" t="str">
        <f t="shared" si="172"/>
        <v/>
      </c>
      <c r="AD128" s="117" t="str">
        <f t="shared" si="176"/>
        <v/>
      </c>
      <c r="AE128" s="120" t="str">
        <f t="shared" si="177"/>
        <v/>
      </c>
      <c r="AF128" s="116"/>
      <c r="AG128" s="121"/>
      <c r="AH128" s="122"/>
      <c r="AI128" s="123"/>
      <c r="AJ128" s="123"/>
      <c r="AK128" s="121"/>
      <c r="AL128" s="122"/>
    </row>
    <row r="129" spans="1:38" s="132" customFormat="1" x14ac:dyDescent="0.3">
      <c r="A129" s="131"/>
      <c r="B129" s="131"/>
      <c r="C129" s="131"/>
      <c r="D129" s="131"/>
      <c r="G129" s="133"/>
      <c r="H129" s="133"/>
    </row>
    <row r="130" spans="1:38" ht="30" customHeight="1" x14ac:dyDescent="0.3">
      <c r="D130" s="240"/>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240"/>
      <c r="AL130" s="240"/>
    </row>
    <row r="131" spans="1:38" s="135" customFormat="1" x14ac:dyDescent="0.3">
      <c r="A131" s="134"/>
      <c r="B131" s="134"/>
      <c r="C131" s="134"/>
      <c r="D131" s="134"/>
      <c r="G131" s="136"/>
      <c r="H131" s="136"/>
    </row>
  </sheetData>
  <autoFilter ref="A8:BR128"/>
  <dataConsolidate/>
  <mergeCells count="300">
    <mergeCell ref="A1:AL1"/>
    <mergeCell ref="A2:AL2"/>
    <mergeCell ref="A3:AL3"/>
    <mergeCell ref="A4:AL4"/>
    <mergeCell ref="H7:H8"/>
    <mergeCell ref="F9:F14"/>
    <mergeCell ref="H9:H14"/>
    <mergeCell ref="D130:AL130"/>
    <mergeCell ref="L117:L122"/>
    <mergeCell ref="M117:M122"/>
    <mergeCell ref="N117:N122"/>
    <mergeCell ref="O117:O122"/>
    <mergeCell ref="P117:P122"/>
    <mergeCell ref="N123:N128"/>
    <mergeCell ref="O123:O128"/>
    <mergeCell ref="P123:P128"/>
    <mergeCell ref="N105:N110"/>
    <mergeCell ref="O105:O110"/>
    <mergeCell ref="P105:P110"/>
    <mergeCell ref="N111:N116"/>
    <mergeCell ref="O111:O116"/>
    <mergeCell ref="P111:P116"/>
    <mergeCell ref="K105:K110"/>
    <mergeCell ref="L99:L104"/>
    <mergeCell ref="O99:O104"/>
    <mergeCell ref="P99:P104"/>
    <mergeCell ref="A123:A128"/>
    <mergeCell ref="D123:D128"/>
    <mergeCell ref="E123:E128"/>
    <mergeCell ref="G123:G128"/>
    <mergeCell ref="I123:I128"/>
    <mergeCell ref="J123:J128"/>
    <mergeCell ref="K123:K128"/>
    <mergeCell ref="L123:L128"/>
    <mergeCell ref="M123:M128"/>
    <mergeCell ref="A117:A122"/>
    <mergeCell ref="D117:D122"/>
    <mergeCell ref="E117:E122"/>
    <mergeCell ref="G117:G122"/>
    <mergeCell ref="I117:I122"/>
    <mergeCell ref="J117:J122"/>
    <mergeCell ref="K117:K122"/>
    <mergeCell ref="L105:L110"/>
    <mergeCell ref="M105:M110"/>
    <mergeCell ref="A111:A116"/>
    <mergeCell ref="D111:D116"/>
    <mergeCell ref="E111:E116"/>
    <mergeCell ref="G111:G116"/>
    <mergeCell ref="I111:I116"/>
    <mergeCell ref="J111:J116"/>
    <mergeCell ref="K111:K116"/>
    <mergeCell ref="L111:L116"/>
    <mergeCell ref="M111:M116"/>
    <mergeCell ref="A105:A110"/>
    <mergeCell ref="D105:D110"/>
    <mergeCell ref="E105:E110"/>
    <mergeCell ref="G105:G110"/>
    <mergeCell ref="I105:I110"/>
    <mergeCell ref="J105:J110"/>
    <mergeCell ref="A93:A98"/>
    <mergeCell ref="D93:D98"/>
    <mergeCell ref="E93:E98"/>
    <mergeCell ref="A99:A104"/>
    <mergeCell ref="D99:D104"/>
    <mergeCell ref="E99:E104"/>
    <mergeCell ref="G99:G104"/>
    <mergeCell ref="I99:I104"/>
    <mergeCell ref="J99:J104"/>
    <mergeCell ref="K99:K104"/>
    <mergeCell ref="G93:G98"/>
    <mergeCell ref="I93:I98"/>
    <mergeCell ref="J93:J98"/>
    <mergeCell ref="K93:K98"/>
    <mergeCell ref="L93:L98"/>
    <mergeCell ref="L81:L86"/>
    <mergeCell ref="M81:M86"/>
    <mergeCell ref="N81:N86"/>
    <mergeCell ref="M99:M104"/>
    <mergeCell ref="N99:N104"/>
    <mergeCell ref="O81:O86"/>
    <mergeCell ref="P81:P86"/>
    <mergeCell ref="L87:L92"/>
    <mergeCell ref="M87:M92"/>
    <mergeCell ref="N87:N92"/>
    <mergeCell ref="O87:O92"/>
    <mergeCell ref="P87:P92"/>
    <mergeCell ref="M93:M98"/>
    <mergeCell ref="N93:N98"/>
    <mergeCell ref="O93:O98"/>
    <mergeCell ref="P93:P98"/>
    <mergeCell ref="A87:A92"/>
    <mergeCell ref="D87:D92"/>
    <mergeCell ref="E87:E92"/>
    <mergeCell ref="G87:G92"/>
    <mergeCell ref="I87:I92"/>
    <mergeCell ref="J87:J92"/>
    <mergeCell ref="K87:K92"/>
    <mergeCell ref="A81:A86"/>
    <mergeCell ref="D81:D86"/>
    <mergeCell ref="E81:E86"/>
    <mergeCell ref="G81:G86"/>
    <mergeCell ref="I81:I86"/>
    <mergeCell ref="J81:J86"/>
    <mergeCell ref="K81:K86"/>
    <mergeCell ref="L69:L74"/>
    <mergeCell ref="M69:M74"/>
    <mergeCell ref="N69:N74"/>
    <mergeCell ref="O69:O74"/>
    <mergeCell ref="P69:P74"/>
    <mergeCell ref="A75:A80"/>
    <mergeCell ref="D75:D80"/>
    <mergeCell ref="E75:E80"/>
    <mergeCell ref="G75:G80"/>
    <mergeCell ref="I75:I80"/>
    <mergeCell ref="J75:J80"/>
    <mergeCell ref="K75:K80"/>
    <mergeCell ref="L75:L80"/>
    <mergeCell ref="M75:M80"/>
    <mergeCell ref="N75:N80"/>
    <mergeCell ref="O75:O80"/>
    <mergeCell ref="P75:P80"/>
    <mergeCell ref="A69:A74"/>
    <mergeCell ref="D69:D74"/>
    <mergeCell ref="E69:E74"/>
    <mergeCell ref="G69:G74"/>
    <mergeCell ref="I69:I74"/>
    <mergeCell ref="J69:J74"/>
    <mergeCell ref="K69:K74"/>
    <mergeCell ref="D15:D20"/>
    <mergeCell ref="E15:E20"/>
    <mergeCell ref="K33:K38"/>
    <mergeCell ref="C9:C14"/>
    <mergeCell ref="B9:B14"/>
    <mergeCell ref="C15:C20"/>
    <mergeCell ref="B15:B20"/>
    <mergeCell ref="A27:A32"/>
    <mergeCell ref="D27:D32"/>
    <mergeCell ref="E27:E32"/>
    <mergeCell ref="G27:G32"/>
    <mergeCell ref="I27:I32"/>
    <mergeCell ref="J27:J32"/>
    <mergeCell ref="K27:K32"/>
    <mergeCell ref="A33:A38"/>
    <mergeCell ref="J15:J20"/>
    <mergeCell ref="K15:K20"/>
    <mergeCell ref="E21:E26"/>
    <mergeCell ref="G21:G26"/>
    <mergeCell ref="I21:I26"/>
    <mergeCell ref="J21:J26"/>
    <mergeCell ref="K21:K26"/>
    <mergeCell ref="AC7:AC8"/>
    <mergeCell ref="AA7:AA8"/>
    <mergeCell ref="AB7:AB8"/>
    <mergeCell ref="S7:S8"/>
    <mergeCell ref="T7:Y7"/>
    <mergeCell ref="G9:G14"/>
    <mergeCell ref="I9:I14"/>
    <mergeCell ref="J9:J14"/>
    <mergeCell ref="A9:A14"/>
    <mergeCell ref="D9:D14"/>
    <mergeCell ref="E9:E14"/>
    <mergeCell ref="K7:K8"/>
    <mergeCell ref="N7:N8"/>
    <mergeCell ref="O7:O8"/>
    <mergeCell ref="P7:P8"/>
    <mergeCell ref="L7:L8"/>
    <mergeCell ref="M7:M8"/>
    <mergeCell ref="P9:P14"/>
    <mergeCell ref="K9:K14"/>
    <mergeCell ref="L9:L14"/>
    <mergeCell ref="M9:M14"/>
    <mergeCell ref="N9:N14"/>
    <mergeCell ref="O9:O14"/>
    <mergeCell ref="L15:L20"/>
    <mergeCell ref="A15:A20"/>
    <mergeCell ref="O21:O26"/>
    <mergeCell ref="P21:P26"/>
    <mergeCell ref="AG7:AG8"/>
    <mergeCell ref="AL7:AL8"/>
    <mergeCell ref="AK7:AK8"/>
    <mergeCell ref="AJ7:AJ8"/>
    <mergeCell ref="AI7:AI8"/>
    <mergeCell ref="AH7:AH8"/>
    <mergeCell ref="A7:A8"/>
    <mergeCell ref="G7:G8"/>
    <mergeCell ref="E7:E8"/>
    <mergeCell ref="D7:D8"/>
    <mergeCell ref="AF7:AF8"/>
    <mergeCell ref="Q7:Q8"/>
    <mergeCell ref="AE7:AE8"/>
    <mergeCell ref="AD7:AD8"/>
    <mergeCell ref="Z7:Z8"/>
    <mergeCell ref="R7:R8"/>
    <mergeCell ref="I7:I8"/>
    <mergeCell ref="J7:J8"/>
    <mergeCell ref="A21:A26"/>
    <mergeCell ref="D21:D26"/>
    <mergeCell ref="L21:L26"/>
    <mergeCell ref="M21:M26"/>
    <mergeCell ref="A39:A44"/>
    <mergeCell ref="D39:D44"/>
    <mergeCell ref="E39:E44"/>
    <mergeCell ref="G39:G44"/>
    <mergeCell ref="D33:D38"/>
    <mergeCell ref="E33:E38"/>
    <mergeCell ref="L39:L44"/>
    <mergeCell ref="M39:M44"/>
    <mergeCell ref="G33:G38"/>
    <mergeCell ref="I33:I38"/>
    <mergeCell ref="J33:J38"/>
    <mergeCell ref="L33:L38"/>
    <mergeCell ref="I39:I44"/>
    <mergeCell ref="J39:J44"/>
    <mergeCell ref="K39:K44"/>
    <mergeCell ref="M33:M38"/>
    <mergeCell ref="C33:C38"/>
    <mergeCell ref="F33:F38"/>
    <mergeCell ref="H33:H38"/>
    <mergeCell ref="B33:B37"/>
    <mergeCell ref="A57:A62"/>
    <mergeCell ref="D57:D62"/>
    <mergeCell ref="E57:E62"/>
    <mergeCell ref="G57:G62"/>
    <mergeCell ref="I57:I62"/>
    <mergeCell ref="J57:J62"/>
    <mergeCell ref="K57:K62"/>
    <mergeCell ref="A6:I6"/>
    <mergeCell ref="J6:P6"/>
    <mergeCell ref="A51:A56"/>
    <mergeCell ref="A45:A50"/>
    <mergeCell ref="E45:E50"/>
    <mergeCell ref="O45:O50"/>
    <mergeCell ref="P45:P50"/>
    <mergeCell ref="G51:G56"/>
    <mergeCell ref="I51:I56"/>
    <mergeCell ref="J51:J56"/>
    <mergeCell ref="K51:K56"/>
    <mergeCell ref="L51:L56"/>
    <mergeCell ref="G45:G50"/>
    <mergeCell ref="I45:I50"/>
    <mergeCell ref="J45:J50"/>
    <mergeCell ref="K45:K50"/>
    <mergeCell ref="M51:M56"/>
    <mergeCell ref="Q6:Y6"/>
    <mergeCell ref="Z6:AF6"/>
    <mergeCell ref="AG6:AL6"/>
    <mergeCell ref="O57:O62"/>
    <mergeCell ref="P57:P62"/>
    <mergeCell ref="C21:C26"/>
    <mergeCell ref="B21:B26"/>
    <mergeCell ref="B27:B32"/>
    <mergeCell ref="C27:C32"/>
    <mergeCell ref="D51:D56"/>
    <mergeCell ref="E51:E56"/>
    <mergeCell ref="D45:D50"/>
    <mergeCell ref="N51:N56"/>
    <mergeCell ref="O51:O56"/>
    <mergeCell ref="P51:P56"/>
    <mergeCell ref="L45:L50"/>
    <mergeCell ref="M45:M50"/>
    <mergeCell ref="N45:N50"/>
    <mergeCell ref="N15:N20"/>
    <mergeCell ref="O15:O20"/>
    <mergeCell ref="P15:P20"/>
    <mergeCell ref="N21:N26"/>
    <mergeCell ref="G15:G20"/>
    <mergeCell ref="I15:I20"/>
    <mergeCell ref="A63:A68"/>
    <mergeCell ref="D63:D68"/>
    <mergeCell ref="E63:E68"/>
    <mergeCell ref="G63:G68"/>
    <mergeCell ref="I63:I68"/>
    <mergeCell ref="J63:J68"/>
    <mergeCell ref="K63:K68"/>
    <mergeCell ref="L63:L68"/>
    <mergeCell ref="M63:M68"/>
    <mergeCell ref="N63:N68"/>
    <mergeCell ref="O63:O68"/>
    <mergeCell ref="P63:P68"/>
    <mergeCell ref="L57:L62"/>
    <mergeCell ref="M57:M62"/>
    <mergeCell ref="F15:F20"/>
    <mergeCell ref="H15:H20"/>
    <mergeCell ref="H21:H26"/>
    <mergeCell ref="F21:F26"/>
    <mergeCell ref="F27:F32"/>
    <mergeCell ref="H27:H32"/>
    <mergeCell ref="N57:N62"/>
    <mergeCell ref="N39:N44"/>
    <mergeCell ref="N33:N38"/>
    <mergeCell ref="L27:L32"/>
    <mergeCell ref="M27:M32"/>
    <mergeCell ref="N27:N32"/>
    <mergeCell ref="O27:O32"/>
    <mergeCell ref="P27:P32"/>
    <mergeCell ref="O33:O38"/>
    <mergeCell ref="P33:P38"/>
    <mergeCell ref="O39:O44"/>
    <mergeCell ref="P39:P44"/>
    <mergeCell ref="M15:M20"/>
  </mergeCells>
  <phoneticPr fontId="61" type="noConversion"/>
  <conditionalFormatting sqref="J15">
    <cfRule type="cellIs" dxfId="496" priority="595" operator="equal">
      <formula>"Muy Alta"</formula>
    </cfRule>
    <cfRule type="cellIs" dxfId="495" priority="596" operator="equal">
      <formula>"Alta"</formula>
    </cfRule>
    <cfRule type="cellIs" dxfId="494" priority="597" operator="equal">
      <formula>"Media"</formula>
    </cfRule>
    <cfRule type="cellIs" dxfId="493" priority="598" operator="equal">
      <formula>"Baja"</formula>
    </cfRule>
    <cfRule type="cellIs" dxfId="492" priority="599" operator="equal">
      <formula>"Muy Baja"</formula>
    </cfRule>
  </conditionalFormatting>
  <conditionalFormatting sqref="N15 N21 N27 N39 N45 N51 N57 N63">
    <cfRule type="cellIs" dxfId="491" priority="590" operator="equal">
      <formula>"Catastrófico"</formula>
    </cfRule>
    <cfRule type="cellIs" dxfId="490" priority="591" operator="equal">
      <formula>"Mayor"</formula>
    </cfRule>
    <cfRule type="cellIs" dxfId="489" priority="592" operator="equal">
      <formula>"Moderado"</formula>
    </cfRule>
    <cfRule type="cellIs" dxfId="488" priority="593" operator="equal">
      <formula>"Menor"</formula>
    </cfRule>
    <cfRule type="cellIs" dxfId="487" priority="594" operator="equal">
      <formula>"Leve"</formula>
    </cfRule>
  </conditionalFormatting>
  <conditionalFormatting sqref="P9">
    <cfRule type="cellIs" dxfId="486" priority="586" operator="equal">
      <formula>"Extremo"</formula>
    </cfRule>
    <cfRule type="cellIs" dxfId="485" priority="587" operator="equal">
      <formula>"Alto"</formula>
    </cfRule>
    <cfRule type="cellIs" dxfId="484" priority="588" operator="equal">
      <formula>"Moderado"</formula>
    </cfRule>
    <cfRule type="cellIs" dxfId="483" priority="589" operator="equal">
      <formula>"Bajo"</formula>
    </cfRule>
  </conditionalFormatting>
  <conditionalFormatting sqref="AA9:AA14">
    <cfRule type="cellIs" dxfId="482" priority="581" operator="equal">
      <formula>"Muy Alta"</formula>
    </cfRule>
    <cfRule type="cellIs" dxfId="481" priority="582" operator="equal">
      <formula>"Alta"</formula>
    </cfRule>
    <cfRule type="cellIs" dxfId="480" priority="583" operator="equal">
      <formula>"Media"</formula>
    </cfRule>
    <cfRule type="cellIs" dxfId="479" priority="584" operator="equal">
      <formula>"Baja"</formula>
    </cfRule>
    <cfRule type="cellIs" dxfId="478" priority="585" operator="equal">
      <formula>"Muy Baja"</formula>
    </cfRule>
  </conditionalFormatting>
  <conditionalFormatting sqref="AC9:AC14">
    <cfRule type="cellIs" dxfId="477" priority="576" operator="equal">
      <formula>"Catastrófico"</formula>
    </cfRule>
    <cfRule type="cellIs" dxfId="476" priority="577" operator="equal">
      <formula>"Mayor"</formula>
    </cfRule>
    <cfRule type="cellIs" dxfId="475" priority="578" operator="equal">
      <formula>"Moderado"</formula>
    </cfRule>
    <cfRule type="cellIs" dxfId="474" priority="579" operator="equal">
      <formula>"Menor"</formula>
    </cfRule>
    <cfRule type="cellIs" dxfId="473" priority="580" operator="equal">
      <formula>"Leve"</formula>
    </cfRule>
  </conditionalFormatting>
  <conditionalFormatting sqref="AE9:AE14">
    <cfRule type="cellIs" dxfId="472" priority="572" operator="equal">
      <formula>"Extremo"</formula>
    </cfRule>
    <cfRule type="cellIs" dxfId="471" priority="573" operator="equal">
      <formula>"Alto"</formula>
    </cfRule>
    <cfRule type="cellIs" dxfId="470" priority="574" operator="equal">
      <formula>"Moderado"</formula>
    </cfRule>
    <cfRule type="cellIs" dxfId="469" priority="575" operator="equal">
      <formula>"Bajo"</formula>
    </cfRule>
  </conditionalFormatting>
  <conditionalFormatting sqref="J57">
    <cfRule type="cellIs" dxfId="468" priority="329" operator="equal">
      <formula>"Muy Alta"</formula>
    </cfRule>
    <cfRule type="cellIs" dxfId="467" priority="330" operator="equal">
      <formula>"Alta"</formula>
    </cfRule>
    <cfRule type="cellIs" dxfId="466" priority="331" operator="equal">
      <formula>"Media"</formula>
    </cfRule>
    <cfRule type="cellIs" dxfId="465" priority="332" operator="equal">
      <formula>"Baja"</formula>
    </cfRule>
    <cfRule type="cellIs" dxfId="464" priority="333" operator="equal">
      <formula>"Muy Baja"</formula>
    </cfRule>
  </conditionalFormatting>
  <conditionalFormatting sqref="P15">
    <cfRule type="cellIs" dxfId="463" priority="516" operator="equal">
      <formula>"Extremo"</formula>
    </cfRule>
    <cfRule type="cellIs" dxfId="462" priority="517" operator="equal">
      <formula>"Alto"</formula>
    </cfRule>
    <cfRule type="cellIs" dxfId="461" priority="518" operator="equal">
      <formula>"Moderado"</formula>
    </cfRule>
    <cfRule type="cellIs" dxfId="460" priority="519" operator="equal">
      <formula>"Bajo"</formula>
    </cfRule>
  </conditionalFormatting>
  <conditionalFormatting sqref="AA17:AA20">
    <cfRule type="cellIs" dxfId="459" priority="511" operator="equal">
      <formula>"Muy Alta"</formula>
    </cfRule>
    <cfRule type="cellIs" dxfId="458" priority="512" operator="equal">
      <formula>"Alta"</formula>
    </cfRule>
    <cfRule type="cellIs" dxfId="457" priority="513" operator="equal">
      <formula>"Media"</formula>
    </cfRule>
    <cfRule type="cellIs" dxfId="456" priority="514" operator="equal">
      <formula>"Baja"</formula>
    </cfRule>
    <cfRule type="cellIs" dxfId="455" priority="515" operator="equal">
      <formula>"Muy Baja"</formula>
    </cfRule>
  </conditionalFormatting>
  <conditionalFormatting sqref="AC17:AC20">
    <cfRule type="cellIs" dxfId="454" priority="506" operator="equal">
      <formula>"Catastrófico"</formula>
    </cfRule>
    <cfRule type="cellIs" dxfId="453" priority="507" operator="equal">
      <formula>"Mayor"</formula>
    </cfRule>
    <cfRule type="cellIs" dxfId="452" priority="508" operator="equal">
      <formula>"Moderado"</formula>
    </cfRule>
    <cfRule type="cellIs" dxfId="451" priority="509" operator="equal">
      <formula>"Menor"</formula>
    </cfRule>
    <cfRule type="cellIs" dxfId="450" priority="510" operator="equal">
      <formula>"Leve"</formula>
    </cfRule>
  </conditionalFormatting>
  <conditionalFormatting sqref="AE17:AE20">
    <cfRule type="cellIs" dxfId="449" priority="502" operator="equal">
      <formula>"Extremo"</formula>
    </cfRule>
    <cfRule type="cellIs" dxfId="448" priority="503" operator="equal">
      <formula>"Alto"</formula>
    </cfRule>
    <cfRule type="cellIs" dxfId="447" priority="504" operator="equal">
      <formula>"Moderado"</formula>
    </cfRule>
    <cfRule type="cellIs" dxfId="446" priority="505" operator="equal">
      <formula>"Bajo"</formula>
    </cfRule>
  </conditionalFormatting>
  <conditionalFormatting sqref="J21">
    <cfRule type="cellIs" dxfId="445" priority="497" operator="equal">
      <formula>"Muy Alta"</formula>
    </cfRule>
    <cfRule type="cellIs" dxfId="444" priority="498" operator="equal">
      <formula>"Alta"</formula>
    </cfRule>
    <cfRule type="cellIs" dxfId="443" priority="499" operator="equal">
      <formula>"Media"</formula>
    </cfRule>
    <cfRule type="cellIs" dxfId="442" priority="500" operator="equal">
      <formula>"Baja"</formula>
    </cfRule>
    <cfRule type="cellIs" dxfId="441" priority="501" operator="equal">
      <formula>"Muy Baja"</formula>
    </cfRule>
  </conditionalFormatting>
  <conditionalFormatting sqref="P21">
    <cfRule type="cellIs" dxfId="440" priority="488" operator="equal">
      <formula>"Extremo"</formula>
    </cfRule>
    <cfRule type="cellIs" dxfId="439" priority="489" operator="equal">
      <formula>"Alto"</formula>
    </cfRule>
    <cfRule type="cellIs" dxfId="438" priority="490" operator="equal">
      <formula>"Moderado"</formula>
    </cfRule>
    <cfRule type="cellIs" dxfId="437" priority="491" operator="equal">
      <formula>"Bajo"</formula>
    </cfRule>
  </conditionalFormatting>
  <conditionalFormatting sqref="AA21:AA26">
    <cfRule type="cellIs" dxfId="436" priority="483" operator="equal">
      <formula>"Muy Alta"</formula>
    </cfRule>
    <cfRule type="cellIs" dxfId="435" priority="484" operator="equal">
      <formula>"Alta"</formula>
    </cfRule>
    <cfRule type="cellIs" dxfId="434" priority="485" operator="equal">
      <formula>"Media"</formula>
    </cfRule>
    <cfRule type="cellIs" dxfId="433" priority="486" operator="equal">
      <formula>"Baja"</formula>
    </cfRule>
    <cfRule type="cellIs" dxfId="432" priority="487" operator="equal">
      <formula>"Muy Baja"</formula>
    </cfRule>
  </conditionalFormatting>
  <conditionalFormatting sqref="AC21:AC26">
    <cfRule type="cellIs" dxfId="431" priority="478" operator="equal">
      <formula>"Catastrófico"</formula>
    </cfRule>
    <cfRule type="cellIs" dxfId="430" priority="479" operator="equal">
      <formula>"Mayor"</formula>
    </cfRule>
    <cfRule type="cellIs" dxfId="429" priority="480" operator="equal">
      <formula>"Moderado"</formula>
    </cfRule>
    <cfRule type="cellIs" dxfId="428" priority="481" operator="equal">
      <formula>"Menor"</formula>
    </cfRule>
    <cfRule type="cellIs" dxfId="427" priority="482" operator="equal">
      <formula>"Leve"</formula>
    </cfRule>
  </conditionalFormatting>
  <conditionalFormatting sqref="AE21:AE26">
    <cfRule type="cellIs" dxfId="426" priority="474" operator="equal">
      <formula>"Extremo"</formula>
    </cfRule>
    <cfRule type="cellIs" dxfId="425" priority="475" operator="equal">
      <formula>"Alto"</formula>
    </cfRule>
    <cfRule type="cellIs" dxfId="424" priority="476" operator="equal">
      <formula>"Moderado"</formula>
    </cfRule>
    <cfRule type="cellIs" dxfId="423" priority="477" operator="equal">
      <formula>"Bajo"</formula>
    </cfRule>
  </conditionalFormatting>
  <conditionalFormatting sqref="J27">
    <cfRule type="cellIs" dxfId="422" priority="469" operator="equal">
      <formula>"Muy Alta"</formula>
    </cfRule>
    <cfRule type="cellIs" dxfId="421" priority="470" operator="equal">
      <formula>"Alta"</formula>
    </cfRule>
    <cfRule type="cellIs" dxfId="420" priority="471" operator="equal">
      <formula>"Media"</formula>
    </cfRule>
    <cfRule type="cellIs" dxfId="419" priority="472" operator="equal">
      <formula>"Baja"</formula>
    </cfRule>
    <cfRule type="cellIs" dxfId="418" priority="473" operator="equal">
      <formula>"Muy Baja"</formula>
    </cfRule>
  </conditionalFormatting>
  <conditionalFormatting sqref="P27">
    <cfRule type="cellIs" dxfId="417" priority="460" operator="equal">
      <formula>"Extremo"</formula>
    </cfRule>
    <cfRule type="cellIs" dxfId="416" priority="461" operator="equal">
      <formula>"Alto"</formula>
    </cfRule>
    <cfRule type="cellIs" dxfId="415" priority="462" operator="equal">
      <formula>"Moderado"</formula>
    </cfRule>
    <cfRule type="cellIs" dxfId="414" priority="463" operator="equal">
      <formula>"Bajo"</formula>
    </cfRule>
  </conditionalFormatting>
  <conditionalFormatting sqref="AA27:AA32">
    <cfRule type="cellIs" dxfId="413" priority="455" operator="equal">
      <formula>"Muy Alta"</formula>
    </cfRule>
    <cfRule type="cellIs" dxfId="412" priority="456" operator="equal">
      <formula>"Alta"</formula>
    </cfRule>
    <cfRule type="cellIs" dxfId="411" priority="457" operator="equal">
      <formula>"Media"</formula>
    </cfRule>
    <cfRule type="cellIs" dxfId="410" priority="458" operator="equal">
      <formula>"Baja"</formula>
    </cfRule>
    <cfRule type="cellIs" dxfId="409" priority="459" operator="equal">
      <formula>"Muy Baja"</formula>
    </cfRule>
  </conditionalFormatting>
  <conditionalFormatting sqref="AC27:AC32">
    <cfRule type="cellIs" dxfId="408" priority="450" operator="equal">
      <formula>"Catastrófico"</formula>
    </cfRule>
    <cfRule type="cellIs" dxfId="407" priority="451" operator="equal">
      <formula>"Mayor"</formula>
    </cfRule>
    <cfRule type="cellIs" dxfId="406" priority="452" operator="equal">
      <formula>"Moderado"</formula>
    </cfRule>
    <cfRule type="cellIs" dxfId="405" priority="453" operator="equal">
      <formula>"Menor"</formula>
    </cfRule>
    <cfRule type="cellIs" dxfId="404" priority="454" operator="equal">
      <formula>"Leve"</formula>
    </cfRule>
  </conditionalFormatting>
  <conditionalFormatting sqref="AE27:AE32">
    <cfRule type="cellIs" dxfId="403" priority="446" operator="equal">
      <formula>"Extremo"</formula>
    </cfRule>
    <cfRule type="cellIs" dxfId="402" priority="447" operator="equal">
      <formula>"Alto"</formula>
    </cfRule>
    <cfRule type="cellIs" dxfId="401" priority="448" operator="equal">
      <formula>"Moderado"</formula>
    </cfRule>
    <cfRule type="cellIs" dxfId="400" priority="449" operator="equal">
      <formula>"Bajo"</formula>
    </cfRule>
  </conditionalFormatting>
  <conditionalFormatting sqref="AC33:AC38">
    <cfRule type="cellIs" dxfId="399" priority="422" operator="equal">
      <formula>"Catastrófico"</formula>
    </cfRule>
    <cfRule type="cellIs" dxfId="398" priority="423" operator="equal">
      <formula>"Mayor"</formula>
    </cfRule>
    <cfRule type="cellIs" dxfId="397" priority="424" operator="equal">
      <formula>"Moderado"</formula>
    </cfRule>
    <cfRule type="cellIs" dxfId="396" priority="425" operator="equal">
      <formula>"Menor"</formula>
    </cfRule>
    <cfRule type="cellIs" dxfId="395" priority="426" operator="equal">
      <formula>"Leve"</formula>
    </cfRule>
  </conditionalFormatting>
  <conditionalFormatting sqref="AE33:AE38">
    <cfRule type="cellIs" dxfId="394" priority="418" operator="equal">
      <formula>"Extremo"</formula>
    </cfRule>
    <cfRule type="cellIs" dxfId="393" priority="419" operator="equal">
      <formula>"Alto"</formula>
    </cfRule>
    <cfRule type="cellIs" dxfId="392" priority="420" operator="equal">
      <formula>"Moderado"</formula>
    </cfRule>
    <cfRule type="cellIs" dxfId="391" priority="421" operator="equal">
      <formula>"Bajo"</formula>
    </cfRule>
  </conditionalFormatting>
  <conditionalFormatting sqref="J39">
    <cfRule type="cellIs" dxfId="390" priority="413" operator="equal">
      <formula>"Muy Alta"</formula>
    </cfRule>
    <cfRule type="cellIs" dxfId="389" priority="414" operator="equal">
      <formula>"Alta"</formula>
    </cfRule>
    <cfRule type="cellIs" dxfId="388" priority="415" operator="equal">
      <formula>"Media"</formula>
    </cfRule>
    <cfRule type="cellIs" dxfId="387" priority="416" operator="equal">
      <formula>"Baja"</formula>
    </cfRule>
    <cfRule type="cellIs" dxfId="386" priority="417" operator="equal">
      <formula>"Muy Baja"</formula>
    </cfRule>
  </conditionalFormatting>
  <conditionalFormatting sqref="P39">
    <cfRule type="cellIs" dxfId="385" priority="404" operator="equal">
      <formula>"Extremo"</formula>
    </cfRule>
    <cfRule type="cellIs" dxfId="384" priority="405" operator="equal">
      <formula>"Alto"</formula>
    </cfRule>
    <cfRule type="cellIs" dxfId="383" priority="406" operator="equal">
      <formula>"Moderado"</formula>
    </cfRule>
    <cfRule type="cellIs" dxfId="382" priority="407" operator="equal">
      <formula>"Bajo"</formula>
    </cfRule>
  </conditionalFormatting>
  <conditionalFormatting sqref="AA39:AA44">
    <cfRule type="cellIs" dxfId="381" priority="399" operator="equal">
      <formula>"Muy Alta"</formula>
    </cfRule>
    <cfRule type="cellIs" dxfId="380" priority="400" operator="equal">
      <formula>"Alta"</formula>
    </cfRule>
    <cfRule type="cellIs" dxfId="379" priority="401" operator="equal">
      <formula>"Media"</formula>
    </cfRule>
    <cfRule type="cellIs" dxfId="378" priority="402" operator="equal">
      <formula>"Baja"</formula>
    </cfRule>
    <cfRule type="cellIs" dxfId="377" priority="403" operator="equal">
      <formula>"Muy Baja"</formula>
    </cfRule>
  </conditionalFormatting>
  <conditionalFormatting sqref="AC39:AC44">
    <cfRule type="cellIs" dxfId="376" priority="394" operator="equal">
      <formula>"Catastrófico"</formula>
    </cfRule>
    <cfRule type="cellIs" dxfId="375" priority="395" operator="equal">
      <formula>"Mayor"</formula>
    </cfRule>
    <cfRule type="cellIs" dxfId="374" priority="396" operator="equal">
      <formula>"Moderado"</formula>
    </cfRule>
    <cfRule type="cellIs" dxfId="373" priority="397" operator="equal">
      <formula>"Menor"</formula>
    </cfRule>
    <cfRule type="cellIs" dxfId="372" priority="398" operator="equal">
      <formula>"Leve"</formula>
    </cfRule>
  </conditionalFormatting>
  <conditionalFormatting sqref="AE39:AE44">
    <cfRule type="cellIs" dxfId="371" priority="390" operator="equal">
      <formula>"Extremo"</formula>
    </cfRule>
    <cfRule type="cellIs" dxfId="370" priority="391" operator="equal">
      <formula>"Alto"</formula>
    </cfRule>
    <cfRule type="cellIs" dxfId="369" priority="392" operator="equal">
      <formula>"Moderado"</formula>
    </cfRule>
    <cfRule type="cellIs" dxfId="368" priority="393" operator="equal">
      <formula>"Bajo"</formula>
    </cfRule>
  </conditionalFormatting>
  <conditionalFormatting sqref="J45">
    <cfRule type="cellIs" dxfId="367" priority="385" operator="equal">
      <formula>"Muy Alta"</formula>
    </cfRule>
    <cfRule type="cellIs" dxfId="366" priority="386" operator="equal">
      <formula>"Alta"</formula>
    </cfRule>
    <cfRule type="cellIs" dxfId="365" priority="387" operator="equal">
      <formula>"Media"</formula>
    </cfRule>
    <cfRule type="cellIs" dxfId="364" priority="388" operator="equal">
      <formula>"Baja"</formula>
    </cfRule>
    <cfRule type="cellIs" dxfId="363" priority="389" operator="equal">
      <formula>"Muy Baja"</formula>
    </cfRule>
  </conditionalFormatting>
  <conditionalFormatting sqref="P45">
    <cfRule type="cellIs" dxfId="362" priority="376" operator="equal">
      <formula>"Extremo"</formula>
    </cfRule>
    <cfRule type="cellIs" dxfId="361" priority="377" operator="equal">
      <formula>"Alto"</formula>
    </cfRule>
    <cfRule type="cellIs" dxfId="360" priority="378" operator="equal">
      <formula>"Moderado"</formula>
    </cfRule>
    <cfRule type="cellIs" dxfId="359" priority="379" operator="equal">
      <formula>"Bajo"</formula>
    </cfRule>
  </conditionalFormatting>
  <conditionalFormatting sqref="AA45:AA50">
    <cfRule type="cellIs" dxfId="358" priority="371" operator="equal">
      <formula>"Muy Alta"</formula>
    </cfRule>
    <cfRule type="cellIs" dxfId="357" priority="372" operator="equal">
      <formula>"Alta"</formula>
    </cfRule>
    <cfRule type="cellIs" dxfId="356" priority="373" operator="equal">
      <formula>"Media"</formula>
    </cfRule>
    <cfRule type="cellIs" dxfId="355" priority="374" operator="equal">
      <formula>"Baja"</formula>
    </cfRule>
    <cfRule type="cellIs" dxfId="354" priority="375" operator="equal">
      <formula>"Muy Baja"</formula>
    </cfRule>
  </conditionalFormatting>
  <conditionalFormatting sqref="AC45:AC50">
    <cfRule type="cellIs" dxfId="353" priority="366" operator="equal">
      <formula>"Catastrófico"</formula>
    </cfRule>
    <cfRule type="cellIs" dxfId="352" priority="367" operator="equal">
      <formula>"Mayor"</formula>
    </cfRule>
    <cfRule type="cellIs" dxfId="351" priority="368" operator="equal">
      <formula>"Moderado"</formula>
    </cfRule>
    <cfRule type="cellIs" dxfId="350" priority="369" operator="equal">
      <formula>"Menor"</formula>
    </cfRule>
    <cfRule type="cellIs" dxfId="349" priority="370" operator="equal">
      <formula>"Leve"</formula>
    </cfRule>
  </conditionalFormatting>
  <conditionalFormatting sqref="AE45:AE50">
    <cfRule type="cellIs" dxfId="348" priority="362" operator="equal">
      <formula>"Extremo"</formula>
    </cfRule>
    <cfRule type="cellIs" dxfId="347" priority="363" operator="equal">
      <formula>"Alto"</formula>
    </cfRule>
    <cfRule type="cellIs" dxfId="346" priority="364" operator="equal">
      <formula>"Moderado"</formula>
    </cfRule>
    <cfRule type="cellIs" dxfId="345" priority="365" operator="equal">
      <formula>"Bajo"</formula>
    </cfRule>
  </conditionalFormatting>
  <conditionalFormatting sqref="J51">
    <cfRule type="cellIs" dxfId="344" priority="357" operator="equal">
      <formula>"Muy Alta"</formula>
    </cfRule>
    <cfRule type="cellIs" dxfId="343" priority="358" operator="equal">
      <formula>"Alta"</formula>
    </cfRule>
    <cfRule type="cellIs" dxfId="342" priority="359" operator="equal">
      <formula>"Media"</formula>
    </cfRule>
    <cfRule type="cellIs" dxfId="341" priority="360" operator="equal">
      <formula>"Baja"</formula>
    </cfRule>
    <cfRule type="cellIs" dxfId="340" priority="361" operator="equal">
      <formula>"Muy Baja"</formula>
    </cfRule>
  </conditionalFormatting>
  <conditionalFormatting sqref="P51">
    <cfRule type="cellIs" dxfId="339" priority="348" operator="equal">
      <formula>"Extremo"</formula>
    </cfRule>
    <cfRule type="cellIs" dxfId="338" priority="349" operator="equal">
      <formula>"Alto"</formula>
    </cfRule>
    <cfRule type="cellIs" dxfId="337" priority="350" operator="equal">
      <formula>"Moderado"</formula>
    </cfRule>
    <cfRule type="cellIs" dxfId="336" priority="351" operator="equal">
      <formula>"Bajo"</formula>
    </cfRule>
  </conditionalFormatting>
  <conditionalFormatting sqref="AA51:AA56">
    <cfRule type="cellIs" dxfId="335" priority="343" operator="equal">
      <formula>"Muy Alta"</formula>
    </cfRule>
    <cfRule type="cellIs" dxfId="334" priority="344" operator="equal">
      <formula>"Alta"</formula>
    </cfRule>
    <cfRule type="cellIs" dxfId="333" priority="345" operator="equal">
      <formula>"Media"</formula>
    </cfRule>
    <cfRule type="cellIs" dxfId="332" priority="346" operator="equal">
      <formula>"Baja"</formula>
    </cfRule>
    <cfRule type="cellIs" dxfId="331" priority="347" operator="equal">
      <formula>"Muy Baja"</formula>
    </cfRule>
  </conditionalFormatting>
  <conditionalFormatting sqref="AC51:AC56">
    <cfRule type="cellIs" dxfId="330" priority="338" operator="equal">
      <formula>"Catastrófico"</formula>
    </cfRule>
    <cfRule type="cellIs" dxfId="329" priority="339" operator="equal">
      <formula>"Mayor"</formula>
    </cfRule>
    <cfRule type="cellIs" dxfId="328" priority="340" operator="equal">
      <formula>"Moderado"</formula>
    </cfRule>
    <cfRule type="cellIs" dxfId="327" priority="341" operator="equal">
      <formula>"Menor"</formula>
    </cfRule>
    <cfRule type="cellIs" dxfId="326" priority="342" operator="equal">
      <formula>"Leve"</formula>
    </cfRule>
  </conditionalFormatting>
  <conditionalFormatting sqref="AE51:AE56">
    <cfRule type="cellIs" dxfId="325" priority="334" operator="equal">
      <formula>"Extremo"</formula>
    </cfRule>
    <cfRule type="cellIs" dxfId="324" priority="335" operator="equal">
      <formula>"Alto"</formula>
    </cfRule>
    <cfRule type="cellIs" dxfId="323" priority="336" operator="equal">
      <formula>"Moderado"</formula>
    </cfRule>
    <cfRule type="cellIs" dxfId="322" priority="337" operator="equal">
      <formula>"Bajo"</formula>
    </cfRule>
  </conditionalFormatting>
  <conditionalFormatting sqref="P57">
    <cfRule type="cellIs" dxfId="321" priority="320" operator="equal">
      <formula>"Extremo"</formula>
    </cfRule>
    <cfRule type="cellIs" dxfId="320" priority="321" operator="equal">
      <formula>"Alto"</formula>
    </cfRule>
    <cfRule type="cellIs" dxfId="319" priority="322" operator="equal">
      <formula>"Moderado"</formula>
    </cfRule>
    <cfRule type="cellIs" dxfId="318" priority="323" operator="equal">
      <formula>"Bajo"</formula>
    </cfRule>
  </conditionalFormatting>
  <conditionalFormatting sqref="AA57:AA62">
    <cfRule type="cellIs" dxfId="317" priority="315" operator="equal">
      <formula>"Muy Alta"</formula>
    </cfRule>
    <cfRule type="cellIs" dxfId="316" priority="316" operator="equal">
      <formula>"Alta"</formula>
    </cfRule>
    <cfRule type="cellIs" dxfId="315" priority="317" operator="equal">
      <formula>"Media"</formula>
    </cfRule>
    <cfRule type="cellIs" dxfId="314" priority="318" operator="equal">
      <formula>"Baja"</formula>
    </cfRule>
    <cfRule type="cellIs" dxfId="313" priority="319" operator="equal">
      <formula>"Muy Baja"</formula>
    </cfRule>
  </conditionalFormatting>
  <conditionalFormatting sqref="AC57:AC62">
    <cfRule type="cellIs" dxfId="312" priority="310" operator="equal">
      <formula>"Catastrófico"</formula>
    </cfRule>
    <cfRule type="cellIs" dxfId="311" priority="311" operator="equal">
      <formula>"Mayor"</formula>
    </cfRule>
    <cfRule type="cellIs" dxfId="310" priority="312" operator="equal">
      <formula>"Moderado"</formula>
    </cfRule>
    <cfRule type="cellIs" dxfId="309" priority="313" operator="equal">
      <formula>"Menor"</formula>
    </cfRule>
    <cfRule type="cellIs" dxfId="308" priority="314" operator="equal">
      <formula>"Leve"</formula>
    </cfRule>
  </conditionalFormatting>
  <conditionalFormatting sqref="AE57:AE62">
    <cfRule type="cellIs" dxfId="307" priority="306" operator="equal">
      <formula>"Extremo"</formula>
    </cfRule>
    <cfRule type="cellIs" dxfId="306" priority="307" operator="equal">
      <formula>"Alto"</formula>
    </cfRule>
    <cfRule type="cellIs" dxfId="305" priority="308" operator="equal">
      <formula>"Moderado"</formula>
    </cfRule>
    <cfRule type="cellIs" dxfId="304" priority="309" operator="equal">
      <formula>"Bajo"</formula>
    </cfRule>
  </conditionalFormatting>
  <conditionalFormatting sqref="J63">
    <cfRule type="cellIs" dxfId="303" priority="301" operator="equal">
      <formula>"Muy Alta"</formula>
    </cfRule>
    <cfRule type="cellIs" dxfId="302" priority="302" operator="equal">
      <formula>"Alta"</formula>
    </cfRule>
    <cfRule type="cellIs" dxfId="301" priority="303" operator="equal">
      <formula>"Media"</formula>
    </cfRule>
    <cfRule type="cellIs" dxfId="300" priority="304" operator="equal">
      <formula>"Baja"</formula>
    </cfRule>
    <cfRule type="cellIs" dxfId="299" priority="305" operator="equal">
      <formula>"Muy Baja"</formula>
    </cfRule>
  </conditionalFormatting>
  <conditionalFormatting sqref="P63">
    <cfRule type="cellIs" dxfId="298" priority="292" operator="equal">
      <formula>"Extremo"</formula>
    </cfRule>
    <cfRule type="cellIs" dxfId="297" priority="293" operator="equal">
      <formula>"Alto"</formula>
    </cfRule>
    <cfRule type="cellIs" dxfId="296" priority="294" operator="equal">
      <formula>"Moderado"</formula>
    </cfRule>
    <cfRule type="cellIs" dxfId="295" priority="295" operator="equal">
      <formula>"Bajo"</formula>
    </cfRule>
  </conditionalFormatting>
  <conditionalFormatting sqref="AA63:AA68">
    <cfRule type="cellIs" dxfId="294" priority="287" operator="equal">
      <formula>"Muy Alta"</formula>
    </cfRule>
    <cfRule type="cellIs" dxfId="293" priority="288" operator="equal">
      <formula>"Alta"</formula>
    </cfRule>
    <cfRule type="cellIs" dxfId="292" priority="289" operator="equal">
      <formula>"Media"</formula>
    </cfRule>
    <cfRule type="cellIs" dxfId="291" priority="290" operator="equal">
      <formula>"Baja"</formula>
    </cfRule>
    <cfRule type="cellIs" dxfId="290" priority="291" operator="equal">
      <formula>"Muy Baja"</formula>
    </cfRule>
  </conditionalFormatting>
  <conditionalFormatting sqref="AC63:AC68">
    <cfRule type="cellIs" dxfId="289" priority="282" operator="equal">
      <formula>"Catastrófico"</formula>
    </cfRule>
    <cfRule type="cellIs" dxfId="288" priority="283" operator="equal">
      <formula>"Mayor"</formula>
    </cfRule>
    <cfRule type="cellIs" dxfId="287" priority="284" operator="equal">
      <formula>"Moderado"</formula>
    </cfRule>
    <cfRule type="cellIs" dxfId="286" priority="285" operator="equal">
      <formula>"Menor"</formula>
    </cfRule>
    <cfRule type="cellIs" dxfId="285" priority="286" operator="equal">
      <formula>"Leve"</formula>
    </cfRule>
  </conditionalFormatting>
  <conditionalFormatting sqref="AE63:AE68">
    <cfRule type="cellIs" dxfId="284" priority="278" operator="equal">
      <formula>"Extremo"</formula>
    </cfRule>
    <cfRule type="cellIs" dxfId="283" priority="279" operator="equal">
      <formula>"Alto"</formula>
    </cfRule>
    <cfRule type="cellIs" dxfId="282" priority="280" operator="equal">
      <formula>"Moderado"</formula>
    </cfRule>
    <cfRule type="cellIs" dxfId="281" priority="281" operator="equal">
      <formula>"Bajo"</formula>
    </cfRule>
  </conditionalFormatting>
  <conditionalFormatting sqref="M15:M32 M39:M68">
    <cfRule type="containsText" dxfId="280" priority="277" operator="containsText" text="❌">
      <formula>NOT(ISERROR(SEARCH("❌",M15)))</formula>
    </cfRule>
  </conditionalFormatting>
  <conditionalFormatting sqref="J69 J75">
    <cfRule type="cellIs" dxfId="279" priority="272" operator="equal">
      <formula>"Muy Alta"</formula>
    </cfRule>
    <cfRule type="cellIs" dxfId="278" priority="273" operator="equal">
      <formula>"Alta"</formula>
    </cfRule>
    <cfRule type="cellIs" dxfId="277" priority="274" operator="equal">
      <formula>"Media"</formula>
    </cfRule>
    <cfRule type="cellIs" dxfId="276" priority="275" operator="equal">
      <formula>"Baja"</formula>
    </cfRule>
    <cfRule type="cellIs" dxfId="275" priority="276" operator="equal">
      <formula>"Muy Baja"</formula>
    </cfRule>
  </conditionalFormatting>
  <conditionalFormatting sqref="N69 N75 N81 N87 N93 N99 N105 N111 N117 N123">
    <cfRule type="cellIs" dxfId="274" priority="267" operator="equal">
      <formula>"Catastrófico"</formula>
    </cfRule>
    <cfRule type="cellIs" dxfId="273" priority="268" operator="equal">
      <formula>"Mayor"</formula>
    </cfRule>
    <cfRule type="cellIs" dxfId="272" priority="269" operator="equal">
      <formula>"Moderado"</formula>
    </cfRule>
    <cfRule type="cellIs" dxfId="271" priority="270" operator="equal">
      <formula>"Menor"</formula>
    </cfRule>
    <cfRule type="cellIs" dxfId="270" priority="271" operator="equal">
      <formula>"Leve"</formula>
    </cfRule>
  </conditionalFormatting>
  <conditionalFormatting sqref="P69">
    <cfRule type="cellIs" dxfId="269" priority="263" operator="equal">
      <formula>"Extremo"</formula>
    </cfRule>
    <cfRule type="cellIs" dxfId="268" priority="264" operator="equal">
      <formula>"Alto"</formula>
    </cfRule>
    <cfRule type="cellIs" dxfId="267" priority="265" operator="equal">
      <formula>"Moderado"</formula>
    </cfRule>
    <cfRule type="cellIs" dxfId="266" priority="266" operator="equal">
      <formula>"Bajo"</formula>
    </cfRule>
  </conditionalFormatting>
  <conditionalFormatting sqref="AA69:AA74">
    <cfRule type="cellIs" dxfId="265" priority="258" operator="equal">
      <formula>"Muy Alta"</formula>
    </cfRule>
    <cfRule type="cellIs" dxfId="264" priority="259" operator="equal">
      <formula>"Alta"</formula>
    </cfRule>
    <cfRule type="cellIs" dxfId="263" priority="260" operator="equal">
      <formula>"Media"</formula>
    </cfRule>
    <cfRule type="cellIs" dxfId="262" priority="261" operator="equal">
      <formula>"Baja"</formula>
    </cfRule>
    <cfRule type="cellIs" dxfId="261" priority="262" operator="equal">
      <formula>"Muy Baja"</formula>
    </cfRule>
  </conditionalFormatting>
  <conditionalFormatting sqref="AC69:AC74">
    <cfRule type="cellIs" dxfId="260" priority="253" operator="equal">
      <formula>"Catastrófico"</formula>
    </cfRule>
    <cfRule type="cellIs" dxfId="259" priority="254" operator="equal">
      <formula>"Mayor"</formula>
    </cfRule>
    <cfRule type="cellIs" dxfId="258" priority="255" operator="equal">
      <formula>"Moderado"</formula>
    </cfRule>
    <cfRule type="cellIs" dxfId="257" priority="256" operator="equal">
      <formula>"Menor"</formula>
    </cfRule>
    <cfRule type="cellIs" dxfId="256" priority="257" operator="equal">
      <formula>"Leve"</formula>
    </cfRule>
  </conditionalFormatting>
  <conditionalFormatting sqref="AE69:AE74">
    <cfRule type="cellIs" dxfId="255" priority="249" operator="equal">
      <formula>"Extremo"</formula>
    </cfRule>
    <cfRule type="cellIs" dxfId="254" priority="250" operator="equal">
      <formula>"Alto"</formula>
    </cfRule>
    <cfRule type="cellIs" dxfId="253" priority="251" operator="equal">
      <formula>"Moderado"</formula>
    </cfRule>
    <cfRule type="cellIs" dxfId="252" priority="252" operator="equal">
      <formula>"Bajo"</formula>
    </cfRule>
  </conditionalFormatting>
  <conditionalFormatting sqref="J117">
    <cfRule type="cellIs" dxfId="251" priority="88" operator="equal">
      <formula>"Muy Alta"</formula>
    </cfRule>
    <cfRule type="cellIs" dxfId="250" priority="89" operator="equal">
      <formula>"Alta"</formula>
    </cfRule>
    <cfRule type="cellIs" dxfId="249" priority="90" operator="equal">
      <formula>"Media"</formula>
    </cfRule>
    <cfRule type="cellIs" dxfId="248" priority="91" operator="equal">
      <formula>"Baja"</formula>
    </cfRule>
    <cfRule type="cellIs" dxfId="247" priority="92" operator="equal">
      <formula>"Muy Baja"</formula>
    </cfRule>
  </conditionalFormatting>
  <conditionalFormatting sqref="P75">
    <cfRule type="cellIs" dxfId="246" priority="245" operator="equal">
      <formula>"Extremo"</formula>
    </cfRule>
    <cfRule type="cellIs" dxfId="245" priority="246" operator="equal">
      <formula>"Alto"</formula>
    </cfRule>
    <cfRule type="cellIs" dxfId="244" priority="247" operator="equal">
      <formula>"Moderado"</formula>
    </cfRule>
    <cfRule type="cellIs" dxfId="243" priority="248" operator="equal">
      <formula>"Bajo"</formula>
    </cfRule>
  </conditionalFormatting>
  <conditionalFormatting sqref="AA75:AA80">
    <cfRule type="cellIs" dxfId="242" priority="240" operator="equal">
      <formula>"Muy Alta"</formula>
    </cfRule>
    <cfRule type="cellIs" dxfId="241" priority="241" operator="equal">
      <formula>"Alta"</formula>
    </cfRule>
    <cfRule type="cellIs" dxfId="240" priority="242" operator="equal">
      <formula>"Media"</formula>
    </cfRule>
    <cfRule type="cellIs" dxfId="239" priority="243" operator="equal">
      <formula>"Baja"</formula>
    </cfRule>
    <cfRule type="cellIs" dxfId="238" priority="244" operator="equal">
      <formula>"Muy Baja"</formula>
    </cfRule>
  </conditionalFormatting>
  <conditionalFormatting sqref="AC75:AC80">
    <cfRule type="cellIs" dxfId="237" priority="235" operator="equal">
      <formula>"Catastrófico"</formula>
    </cfRule>
    <cfRule type="cellIs" dxfId="236" priority="236" operator="equal">
      <formula>"Mayor"</formula>
    </cfRule>
    <cfRule type="cellIs" dxfId="235" priority="237" operator="equal">
      <formula>"Moderado"</formula>
    </cfRule>
    <cfRule type="cellIs" dxfId="234" priority="238" operator="equal">
      <formula>"Menor"</formula>
    </cfRule>
    <cfRule type="cellIs" dxfId="233" priority="239" operator="equal">
      <formula>"Leve"</formula>
    </cfRule>
  </conditionalFormatting>
  <conditionalFormatting sqref="AE75:AE80">
    <cfRule type="cellIs" dxfId="232" priority="231" operator="equal">
      <formula>"Extremo"</formula>
    </cfRule>
    <cfRule type="cellIs" dxfId="231" priority="232" operator="equal">
      <formula>"Alto"</formula>
    </cfRule>
    <cfRule type="cellIs" dxfId="230" priority="233" operator="equal">
      <formula>"Moderado"</formula>
    </cfRule>
    <cfRule type="cellIs" dxfId="229" priority="234" operator="equal">
      <formula>"Bajo"</formula>
    </cfRule>
  </conditionalFormatting>
  <conditionalFormatting sqref="J81">
    <cfRule type="cellIs" dxfId="228" priority="226" operator="equal">
      <formula>"Muy Alta"</formula>
    </cfRule>
    <cfRule type="cellIs" dxfId="227" priority="227" operator="equal">
      <formula>"Alta"</formula>
    </cfRule>
    <cfRule type="cellIs" dxfId="226" priority="228" operator="equal">
      <formula>"Media"</formula>
    </cfRule>
    <cfRule type="cellIs" dxfId="225" priority="229" operator="equal">
      <formula>"Baja"</formula>
    </cfRule>
    <cfRule type="cellIs" dxfId="224" priority="230" operator="equal">
      <formula>"Muy Baja"</formula>
    </cfRule>
  </conditionalFormatting>
  <conditionalFormatting sqref="P81">
    <cfRule type="cellIs" dxfId="223" priority="222" operator="equal">
      <formula>"Extremo"</formula>
    </cfRule>
    <cfRule type="cellIs" dxfId="222" priority="223" operator="equal">
      <formula>"Alto"</formula>
    </cfRule>
    <cfRule type="cellIs" dxfId="221" priority="224" operator="equal">
      <formula>"Moderado"</formula>
    </cfRule>
    <cfRule type="cellIs" dxfId="220" priority="225" operator="equal">
      <formula>"Bajo"</formula>
    </cfRule>
  </conditionalFormatting>
  <conditionalFormatting sqref="AA81:AA86">
    <cfRule type="cellIs" dxfId="219" priority="217" operator="equal">
      <formula>"Muy Alta"</formula>
    </cfRule>
    <cfRule type="cellIs" dxfId="218" priority="218" operator="equal">
      <formula>"Alta"</formula>
    </cfRule>
    <cfRule type="cellIs" dxfId="217" priority="219" operator="equal">
      <formula>"Media"</formula>
    </cfRule>
    <cfRule type="cellIs" dxfId="216" priority="220" operator="equal">
      <formula>"Baja"</formula>
    </cfRule>
    <cfRule type="cellIs" dxfId="215" priority="221" operator="equal">
      <formula>"Muy Baja"</formula>
    </cfRule>
  </conditionalFormatting>
  <conditionalFormatting sqref="AC81:AC86">
    <cfRule type="cellIs" dxfId="214" priority="212" operator="equal">
      <formula>"Catastrófico"</formula>
    </cfRule>
    <cfRule type="cellIs" dxfId="213" priority="213" operator="equal">
      <formula>"Mayor"</formula>
    </cfRule>
    <cfRule type="cellIs" dxfId="212" priority="214" operator="equal">
      <formula>"Moderado"</formula>
    </cfRule>
    <cfRule type="cellIs" dxfId="211" priority="215" operator="equal">
      <formula>"Menor"</formula>
    </cfRule>
    <cfRule type="cellIs" dxfId="210" priority="216" operator="equal">
      <formula>"Leve"</formula>
    </cfRule>
  </conditionalFormatting>
  <conditionalFormatting sqref="AE81:AE86">
    <cfRule type="cellIs" dxfId="209" priority="208" operator="equal">
      <formula>"Extremo"</formula>
    </cfRule>
    <cfRule type="cellIs" dxfId="208" priority="209" operator="equal">
      <formula>"Alto"</formula>
    </cfRule>
    <cfRule type="cellIs" dxfId="207" priority="210" operator="equal">
      <formula>"Moderado"</formula>
    </cfRule>
    <cfRule type="cellIs" dxfId="206" priority="211" operator="equal">
      <formula>"Bajo"</formula>
    </cfRule>
  </conditionalFormatting>
  <conditionalFormatting sqref="J87">
    <cfRule type="cellIs" dxfId="205" priority="203" operator="equal">
      <formula>"Muy Alta"</formula>
    </cfRule>
    <cfRule type="cellIs" dxfId="204" priority="204" operator="equal">
      <formula>"Alta"</formula>
    </cfRule>
    <cfRule type="cellIs" dxfId="203" priority="205" operator="equal">
      <formula>"Media"</formula>
    </cfRule>
    <cfRule type="cellIs" dxfId="202" priority="206" operator="equal">
      <formula>"Baja"</formula>
    </cfRule>
    <cfRule type="cellIs" dxfId="201" priority="207" operator="equal">
      <formula>"Muy Baja"</formula>
    </cfRule>
  </conditionalFormatting>
  <conditionalFormatting sqref="P87">
    <cfRule type="cellIs" dxfId="200" priority="199" operator="equal">
      <formula>"Extremo"</formula>
    </cfRule>
    <cfRule type="cellIs" dxfId="199" priority="200" operator="equal">
      <formula>"Alto"</formula>
    </cfRule>
    <cfRule type="cellIs" dxfId="198" priority="201" operator="equal">
      <formula>"Moderado"</formula>
    </cfRule>
    <cfRule type="cellIs" dxfId="197" priority="202" operator="equal">
      <formula>"Bajo"</formula>
    </cfRule>
  </conditionalFormatting>
  <conditionalFormatting sqref="AA87:AA92">
    <cfRule type="cellIs" dxfId="196" priority="194" operator="equal">
      <formula>"Muy Alta"</formula>
    </cfRule>
    <cfRule type="cellIs" dxfId="195" priority="195" operator="equal">
      <formula>"Alta"</formula>
    </cfRule>
    <cfRule type="cellIs" dxfId="194" priority="196" operator="equal">
      <formula>"Media"</formula>
    </cfRule>
    <cfRule type="cellIs" dxfId="193" priority="197" operator="equal">
      <formula>"Baja"</formula>
    </cfRule>
    <cfRule type="cellIs" dxfId="192" priority="198" operator="equal">
      <formula>"Muy Baja"</formula>
    </cfRule>
  </conditionalFormatting>
  <conditionalFormatting sqref="AC87:AC92">
    <cfRule type="cellIs" dxfId="191" priority="189" operator="equal">
      <formula>"Catastrófico"</formula>
    </cfRule>
    <cfRule type="cellIs" dxfId="190" priority="190" operator="equal">
      <formula>"Mayor"</formula>
    </cfRule>
    <cfRule type="cellIs" dxfId="189" priority="191" operator="equal">
      <formula>"Moderado"</formula>
    </cfRule>
    <cfRule type="cellIs" dxfId="188" priority="192" operator="equal">
      <formula>"Menor"</formula>
    </cfRule>
    <cfRule type="cellIs" dxfId="187" priority="193" operator="equal">
      <formula>"Leve"</formula>
    </cfRule>
  </conditionalFormatting>
  <conditionalFormatting sqref="AE87:AE92">
    <cfRule type="cellIs" dxfId="186" priority="185" operator="equal">
      <formula>"Extremo"</formula>
    </cfRule>
    <cfRule type="cellIs" dxfId="185" priority="186" operator="equal">
      <formula>"Alto"</formula>
    </cfRule>
    <cfRule type="cellIs" dxfId="184" priority="187" operator="equal">
      <formula>"Moderado"</formula>
    </cfRule>
    <cfRule type="cellIs" dxfId="183" priority="188" operator="equal">
      <formula>"Bajo"</formula>
    </cfRule>
  </conditionalFormatting>
  <conditionalFormatting sqref="J93">
    <cfRule type="cellIs" dxfId="182" priority="180" operator="equal">
      <formula>"Muy Alta"</formula>
    </cfRule>
    <cfRule type="cellIs" dxfId="181" priority="181" operator="equal">
      <formula>"Alta"</formula>
    </cfRule>
    <cfRule type="cellIs" dxfId="180" priority="182" operator="equal">
      <formula>"Media"</formula>
    </cfRule>
    <cfRule type="cellIs" dxfId="179" priority="183" operator="equal">
      <formula>"Baja"</formula>
    </cfRule>
    <cfRule type="cellIs" dxfId="178" priority="184" operator="equal">
      <formula>"Muy Baja"</formula>
    </cfRule>
  </conditionalFormatting>
  <conditionalFormatting sqref="P93">
    <cfRule type="cellIs" dxfId="177" priority="176" operator="equal">
      <formula>"Extremo"</formula>
    </cfRule>
    <cfRule type="cellIs" dxfId="176" priority="177" operator="equal">
      <formula>"Alto"</formula>
    </cfRule>
    <cfRule type="cellIs" dxfId="175" priority="178" operator="equal">
      <formula>"Moderado"</formula>
    </cfRule>
    <cfRule type="cellIs" dxfId="174" priority="179" operator="equal">
      <formula>"Bajo"</formula>
    </cfRule>
  </conditionalFormatting>
  <conditionalFormatting sqref="AA93:AA98">
    <cfRule type="cellIs" dxfId="173" priority="171" operator="equal">
      <formula>"Muy Alta"</formula>
    </cfRule>
    <cfRule type="cellIs" dxfId="172" priority="172" operator="equal">
      <formula>"Alta"</formula>
    </cfRule>
    <cfRule type="cellIs" dxfId="171" priority="173" operator="equal">
      <formula>"Media"</formula>
    </cfRule>
    <cfRule type="cellIs" dxfId="170" priority="174" operator="equal">
      <formula>"Baja"</formula>
    </cfRule>
    <cfRule type="cellIs" dxfId="169" priority="175" operator="equal">
      <formula>"Muy Baja"</formula>
    </cfRule>
  </conditionalFormatting>
  <conditionalFormatting sqref="AC93:AC98">
    <cfRule type="cellIs" dxfId="168" priority="166" operator="equal">
      <formula>"Catastrófico"</formula>
    </cfRule>
    <cfRule type="cellIs" dxfId="167" priority="167" operator="equal">
      <formula>"Mayor"</formula>
    </cfRule>
    <cfRule type="cellIs" dxfId="166" priority="168" operator="equal">
      <formula>"Moderado"</formula>
    </cfRule>
    <cfRule type="cellIs" dxfId="165" priority="169" operator="equal">
      <formula>"Menor"</formula>
    </cfRule>
    <cfRule type="cellIs" dxfId="164" priority="170" operator="equal">
      <formula>"Leve"</formula>
    </cfRule>
  </conditionalFormatting>
  <conditionalFormatting sqref="AE93:AE98">
    <cfRule type="cellIs" dxfId="163" priority="162" operator="equal">
      <formula>"Extremo"</formula>
    </cfRule>
    <cfRule type="cellIs" dxfId="162" priority="163" operator="equal">
      <formula>"Alto"</formula>
    </cfRule>
    <cfRule type="cellIs" dxfId="161" priority="164" operator="equal">
      <formula>"Moderado"</formula>
    </cfRule>
    <cfRule type="cellIs" dxfId="160" priority="165" operator="equal">
      <formula>"Bajo"</formula>
    </cfRule>
  </conditionalFormatting>
  <conditionalFormatting sqref="J99">
    <cfRule type="cellIs" dxfId="159" priority="157" operator="equal">
      <formula>"Muy Alta"</formula>
    </cfRule>
    <cfRule type="cellIs" dxfId="158" priority="158" operator="equal">
      <formula>"Alta"</formula>
    </cfRule>
    <cfRule type="cellIs" dxfId="157" priority="159" operator="equal">
      <formula>"Media"</formula>
    </cfRule>
    <cfRule type="cellIs" dxfId="156" priority="160" operator="equal">
      <formula>"Baja"</formula>
    </cfRule>
    <cfRule type="cellIs" dxfId="155" priority="161" operator="equal">
      <formula>"Muy Baja"</formula>
    </cfRule>
  </conditionalFormatting>
  <conditionalFormatting sqref="P99">
    <cfRule type="cellIs" dxfId="154" priority="153" operator="equal">
      <formula>"Extremo"</formula>
    </cfRule>
    <cfRule type="cellIs" dxfId="153" priority="154" operator="equal">
      <formula>"Alto"</formula>
    </cfRule>
    <cfRule type="cellIs" dxfId="152" priority="155" operator="equal">
      <formula>"Moderado"</formula>
    </cfRule>
    <cfRule type="cellIs" dxfId="151" priority="156" operator="equal">
      <formula>"Bajo"</formula>
    </cfRule>
  </conditionalFormatting>
  <conditionalFormatting sqref="AA99:AA104">
    <cfRule type="cellIs" dxfId="150" priority="148" operator="equal">
      <formula>"Muy Alta"</formula>
    </cfRule>
    <cfRule type="cellIs" dxfId="149" priority="149" operator="equal">
      <formula>"Alta"</formula>
    </cfRule>
    <cfRule type="cellIs" dxfId="148" priority="150" operator="equal">
      <formula>"Media"</formula>
    </cfRule>
    <cfRule type="cellIs" dxfId="147" priority="151" operator="equal">
      <formula>"Baja"</formula>
    </cfRule>
    <cfRule type="cellIs" dxfId="146" priority="152" operator="equal">
      <formula>"Muy Baja"</formula>
    </cfRule>
  </conditionalFormatting>
  <conditionalFormatting sqref="AC99:AC104">
    <cfRule type="cellIs" dxfId="145" priority="143" operator="equal">
      <formula>"Catastrófico"</formula>
    </cfRule>
    <cfRule type="cellIs" dxfId="144" priority="144" operator="equal">
      <formula>"Mayor"</formula>
    </cfRule>
    <cfRule type="cellIs" dxfId="143" priority="145" operator="equal">
      <formula>"Moderado"</formula>
    </cfRule>
    <cfRule type="cellIs" dxfId="142" priority="146" operator="equal">
      <formula>"Menor"</formula>
    </cfRule>
    <cfRule type="cellIs" dxfId="141" priority="147" operator="equal">
      <formula>"Leve"</formula>
    </cfRule>
  </conditionalFormatting>
  <conditionalFormatting sqref="AE99:AE104">
    <cfRule type="cellIs" dxfId="140" priority="139" operator="equal">
      <formula>"Extremo"</formula>
    </cfRule>
    <cfRule type="cellIs" dxfId="139" priority="140" operator="equal">
      <formula>"Alto"</formula>
    </cfRule>
    <cfRule type="cellIs" dxfId="138" priority="141" operator="equal">
      <formula>"Moderado"</formula>
    </cfRule>
    <cfRule type="cellIs" dxfId="137" priority="142" operator="equal">
      <formula>"Bajo"</formula>
    </cfRule>
  </conditionalFormatting>
  <conditionalFormatting sqref="J105">
    <cfRule type="cellIs" dxfId="136" priority="134" operator="equal">
      <formula>"Muy Alta"</formula>
    </cfRule>
    <cfRule type="cellIs" dxfId="135" priority="135" operator="equal">
      <formula>"Alta"</formula>
    </cfRule>
    <cfRule type="cellIs" dxfId="134" priority="136" operator="equal">
      <formula>"Media"</formula>
    </cfRule>
    <cfRule type="cellIs" dxfId="133" priority="137" operator="equal">
      <formula>"Baja"</formula>
    </cfRule>
    <cfRule type="cellIs" dxfId="132" priority="138" operator="equal">
      <formula>"Muy Baja"</formula>
    </cfRule>
  </conditionalFormatting>
  <conditionalFormatting sqref="P105">
    <cfRule type="cellIs" dxfId="131" priority="130" operator="equal">
      <formula>"Extremo"</formula>
    </cfRule>
    <cfRule type="cellIs" dxfId="130" priority="131" operator="equal">
      <formula>"Alto"</formula>
    </cfRule>
    <cfRule type="cellIs" dxfId="129" priority="132" operator="equal">
      <formula>"Moderado"</formula>
    </cfRule>
    <cfRule type="cellIs" dxfId="128" priority="133" operator="equal">
      <formula>"Bajo"</formula>
    </cfRule>
  </conditionalFormatting>
  <conditionalFormatting sqref="AA105:AA110">
    <cfRule type="cellIs" dxfId="127" priority="125" operator="equal">
      <formula>"Muy Alta"</formula>
    </cfRule>
    <cfRule type="cellIs" dxfId="126" priority="126" operator="equal">
      <formula>"Alta"</formula>
    </cfRule>
    <cfRule type="cellIs" dxfId="125" priority="127" operator="equal">
      <formula>"Media"</formula>
    </cfRule>
    <cfRule type="cellIs" dxfId="124" priority="128" operator="equal">
      <formula>"Baja"</formula>
    </cfRule>
    <cfRule type="cellIs" dxfId="123" priority="129" operator="equal">
      <formula>"Muy Baja"</formula>
    </cfRule>
  </conditionalFormatting>
  <conditionalFormatting sqref="AC105:AC110">
    <cfRule type="cellIs" dxfId="122" priority="120" operator="equal">
      <formula>"Catastrófico"</formula>
    </cfRule>
    <cfRule type="cellIs" dxfId="121" priority="121" operator="equal">
      <formula>"Mayor"</formula>
    </cfRule>
    <cfRule type="cellIs" dxfId="120" priority="122" operator="equal">
      <formula>"Moderado"</formula>
    </cfRule>
    <cfRule type="cellIs" dxfId="119" priority="123" operator="equal">
      <formula>"Menor"</formula>
    </cfRule>
    <cfRule type="cellIs" dxfId="118" priority="124" operator="equal">
      <formula>"Leve"</formula>
    </cfRule>
  </conditionalFormatting>
  <conditionalFormatting sqref="AE105:AE110">
    <cfRule type="cellIs" dxfId="117" priority="116" operator="equal">
      <formula>"Extremo"</formula>
    </cfRule>
    <cfRule type="cellIs" dxfId="116" priority="117" operator="equal">
      <formula>"Alto"</formula>
    </cfRule>
    <cfRule type="cellIs" dxfId="115" priority="118" operator="equal">
      <formula>"Moderado"</formula>
    </cfRule>
    <cfRule type="cellIs" dxfId="114" priority="119" operator="equal">
      <formula>"Bajo"</formula>
    </cfRule>
  </conditionalFormatting>
  <conditionalFormatting sqref="J111">
    <cfRule type="cellIs" dxfId="113" priority="111" operator="equal">
      <formula>"Muy Alta"</formula>
    </cfRule>
    <cfRule type="cellIs" dxfId="112" priority="112" operator="equal">
      <formula>"Alta"</formula>
    </cfRule>
    <cfRule type="cellIs" dxfId="111" priority="113" operator="equal">
      <formula>"Media"</formula>
    </cfRule>
    <cfRule type="cellIs" dxfId="110" priority="114" operator="equal">
      <formula>"Baja"</formula>
    </cfRule>
    <cfRule type="cellIs" dxfId="109" priority="115" operator="equal">
      <formula>"Muy Baja"</formula>
    </cfRule>
  </conditionalFormatting>
  <conditionalFormatting sqref="P111">
    <cfRule type="cellIs" dxfId="108" priority="107" operator="equal">
      <formula>"Extremo"</formula>
    </cfRule>
    <cfRule type="cellIs" dxfId="107" priority="108" operator="equal">
      <formula>"Alto"</formula>
    </cfRule>
    <cfRule type="cellIs" dxfId="106" priority="109" operator="equal">
      <formula>"Moderado"</formula>
    </cfRule>
    <cfRule type="cellIs" dxfId="105" priority="110" operator="equal">
      <formula>"Bajo"</formula>
    </cfRule>
  </conditionalFormatting>
  <conditionalFormatting sqref="AA111:AA116">
    <cfRule type="cellIs" dxfId="104" priority="102" operator="equal">
      <formula>"Muy Alta"</formula>
    </cfRule>
    <cfRule type="cellIs" dxfId="103" priority="103" operator="equal">
      <formula>"Alta"</formula>
    </cfRule>
    <cfRule type="cellIs" dxfId="102" priority="104" operator="equal">
      <formula>"Media"</formula>
    </cfRule>
    <cfRule type="cellIs" dxfId="101" priority="105" operator="equal">
      <formula>"Baja"</formula>
    </cfRule>
    <cfRule type="cellIs" dxfId="100" priority="106" operator="equal">
      <formula>"Muy Baja"</formula>
    </cfRule>
  </conditionalFormatting>
  <conditionalFormatting sqref="AC111:AC116">
    <cfRule type="cellIs" dxfId="99" priority="97" operator="equal">
      <formula>"Catastrófico"</formula>
    </cfRule>
    <cfRule type="cellIs" dxfId="98" priority="98" operator="equal">
      <formula>"Mayor"</formula>
    </cfRule>
    <cfRule type="cellIs" dxfId="97" priority="99" operator="equal">
      <formula>"Moderado"</formula>
    </cfRule>
    <cfRule type="cellIs" dxfId="96" priority="100" operator="equal">
      <formula>"Menor"</formula>
    </cfRule>
    <cfRule type="cellIs" dxfId="95" priority="101" operator="equal">
      <formula>"Leve"</formula>
    </cfRule>
  </conditionalFormatting>
  <conditionalFormatting sqref="AE111:AE116">
    <cfRule type="cellIs" dxfId="94" priority="93" operator="equal">
      <formula>"Extremo"</formula>
    </cfRule>
    <cfRule type="cellIs" dxfId="93" priority="94" operator="equal">
      <formula>"Alto"</formula>
    </cfRule>
    <cfRule type="cellIs" dxfId="92" priority="95" operator="equal">
      <formula>"Moderado"</formula>
    </cfRule>
    <cfRule type="cellIs" dxfId="91" priority="96" operator="equal">
      <formula>"Bajo"</formula>
    </cfRule>
  </conditionalFormatting>
  <conditionalFormatting sqref="P117">
    <cfRule type="cellIs" dxfId="90" priority="84" operator="equal">
      <formula>"Extremo"</formula>
    </cfRule>
    <cfRule type="cellIs" dxfId="89" priority="85" operator="equal">
      <formula>"Alto"</formula>
    </cfRule>
    <cfRule type="cellIs" dxfId="88" priority="86" operator="equal">
      <formula>"Moderado"</formula>
    </cfRule>
    <cfRule type="cellIs" dxfId="87" priority="87" operator="equal">
      <formula>"Bajo"</formula>
    </cfRule>
  </conditionalFormatting>
  <conditionalFormatting sqref="AA117:AA122">
    <cfRule type="cellIs" dxfId="86" priority="79" operator="equal">
      <formula>"Muy Alta"</formula>
    </cfRule>
    <cfRule type="cellIs" dxfId="85" priority="80" operator="equal">
      <formula>"Alta"</formula>
    </cfRule>
    <cfRule type="cellIs" dxfId="84" priority="81" operator="equal">
      <formula>"Media"</formula>
    </cfRule>
    <cfRule type="cellIs" dxfId="83" priority="82" operator="equal">
      <formula>"Baja"</formula>
    </cfRule>
    <cfRule type="cellIs" dxfId="82" priority="83" operator="equal">
      <formula>"Muy Baja"</formula>
    </cfRule>
  </conditionalFormatting>
  <conditionalFormatting sqref="AC117:AC122">
    <cfRule type="cellIs" dxfId="81" priority="74" operator="equal">
      <formula>"Catastrófico"</formula>
    </cfRule>
    <cfRule type="cellIs" dxfId="80" priority="75" operator="equal">
      <formula>"Mayor"</formula>
    </cfRule>
    <cfRule type="cellIs" dxfId="79" priority="76" operator="equal">
      <formula>"Moderado"</formula>
    </cfRule>
    <cfRule type="cellIs" dxfId="78" priority="77" operator="equal">
      <formula>"Menor"</formula>
    </cfRule>
    <cfRule type="cellIs" dxfId="77" priority="78" operator="equal">
      <formula>"Leve"</formula>
    </cfRule>
  </conditionalFormatting>
  <conditionalFormatting sqref="AE117:AE122">
    <cfRule type="cellIs" dxfId="76" priority="70" operator="equal">
      <formula>"Extremo"</formula>
    </cfRule>
    <cfRule type="cellIs" dxfId="75" priority="71" operator="equal">
      <formula>"Alto"</formula>
    </cfRule>
    <cfRule type="cellIs" dxfId="74" priority="72" operator="equal">
      <formula>"Moderado"</formula>
    </cfRule>
    <cfRule type="cellIs" dxfId="73" priority="73" operator="equal">
      <formula>"Bajo"</formula>
    </cfRule>
  </conditionalFormatting>
  <conditionalFormatting sqref="J123">
    <cfRule type="cellIs" dxfId="72" priority="65" operator="equal">
      <formula>"Muy Alta"</formula>
    </cfRule>
    <cfRule type="cellIs" dxfId="71" priority="66" operator="equal">
      <formula>"Alta"</formula>
    </cfRule>
    <cfRule type="cellIs" dxfId="70" priority="67" operator="equal">
      <formula>"Media"</formula>
    </cfRule>
    <cfRule type="cellIs" dxfId="69" priority="68" operator="equal">
      <formula>"Baja"</formula>
    </cfRule>
    <cfRule type="cellIs" dxfId="68" priority="69" operator="equal">
      <formula>"Muy Baja"</formula>
    </cfRule>
  </conditionalFormatting>
  <conditionalFormatting sqref="P123">
    <cfRule type="cellIs" dxfId="67" priority="61" operator="equal">
      <formula>"Extremo"</formula>
    </cfRule>
    <cfRule type="cellIs" dxfId="66" priority="62" operator="equal">
      <formula>"Alto"</formula>
    </cfRule>
    <cfRule type="cellIs" dxfId="65" priority="63" operator="equal">
      <formula>"Moderado"</formula>
    </cfRule>
    <cfRule type="cellIs" dxfId="64" priority="64" operator="equal">
      <formula>"Bajo"</formula>
    </cfRule>
  </conditionalFormatting>
  <conditionalFormatting sqref="AA123:AA128">
    <cfRule type="cellIs" dxfId="63" priority="56" operator="equal">
      <formula>"Muy Alta"</formula>
    </cfRule>
    <cfRule type="cellIs" dxfId="62" priority="57" operator="equal">
      <formula>"Alta"</formula>
    </cfRule>
    <cfRule type="cellIs" dxfId="61" priority="58" operator="equal">
      <formula>"Media"</formula>
    </cfRule>
    <cfRule type="cellIs" dxfId="60" priority="59" operator="equal">
      <formula>"Baja"</formula>
    </cfRule>
    <cfRule type="cellIs" dxfId="59" priority="60" operator="equal">
      <formula>"Muy Baja"</formula>
    </cfRule>
  </conditionalFormatting>
  <conditionalFormatting sqref="AC123:AC128">
    <cfRule type="cellIs" dxfId="58" priority="51" operator="equal">
      <formula>"Catastrófico"</formula>
    </cfRule>
    <cfRule type="cellIs" dxfId="57" priority="52" operator="equal">
      <formula>"Mayor"</formula>
    </cfRule>
    <cfRule type="cellIs" dxfId="56" priority="53" operator="equal">
      <formula>"Moderado"</formula>
    </cfRule>
    <cfRule type="cellIs" dxfId="55" priority="54" operator="equal">
      <formula>"Menor"</formula>
    </cfRule>
    <cfRule type="cellIs" dxfId="54" priority="55" operator="equal">
      <formula>"Leve"</formula>
    </cfRule>
  </conditionalFormatting>
  <conditionalFormatting sqref="AE123:AE128">
    <cfRule type="cellIs" dxfId="53" priority="47" operator="equal">
      <formula>"Extremo"</formula>
    </cfRule>
    <cfRule type="cellIs" dxfId="52" priority="48" operator="equal">
      <formula>"Alto"</formula>
    </cfRule>
    <cfRule type="cellIs" dxfId="51" priority="49" operator="equal">
      <formula>"Moderado"</formula>
    </cfRule>
    <cfRule type="cellIs" dxfId="50" priority="50" operator="equal">
      <formula>"Bajo"</formula>
    </cfRule>
  </conditionalFormatting>
  <conditionalFormatting sqref="M69:M128">
    <cfRule type="containsText" dxfId="49" priority="46" operator="containsText" text="❌">
      <formula>NOT(ISERROR(SEARCH("❌",M69)))</formula>
    </cfRule>
  </conditionalFormatting>
  <conditionalFormatting sqref="J9">
    <cfRule type="cellIs" dxfId="48" priority="41" operator="equal">
      <formula>"Muy Alta"</formula>
    </cfRule>
    <cfRule type="cellIs" dxfId="47" priority="42" operator="equal">
      <formula>"Alta"</formula>
    </cfRule>
    <cfRule type="cellIs" dxfId="46" priority="43" operator="equal">
      <formula>"Media"</formula>
    </cfRule>
    <cfRule type="cellIs" dxfId="45" priority="44" operator="equal">
      <formula>"Baja"</formula>
    </cfRule>
    <cfRule type="cellIs" dxfId="44" priority="45" operator="equal">
      <formula>"Muy Baja"</formula>
    </cfRule>
  </conditionalFormatting>
  <conditionalFormatting sqref="N9">
    <cfRule type="cellIs" dxfId="43" priority="36" operator="equal">
      <formula>"Catastrófico"</formula>
    </cfRule>
    <cfRule type="cellIs" dxfId="42" priority="37" operator="equal">
      <formula>"Mayor"</formula>
    </cfRule>
    <cfRule type="cellIs" dxfId="41" priority="38" operator="equal">
      <formula>"Moderado"</formula>
    </cfRule>
    <cfRule type="cellIs" dxfId="40" priority="39" operator="equal">
      <formula>"Menor"</formula>
    </cfRule>
    <cfRule type="cellIs" dxfId="39" priority="40" operator="equal">
      <formula>"Leve"</formula>
    </cfRule>
  </conditionalFormatting>
  <conditionalFormatting sqref="M9:M14">
    <cfRule type="containsText" dxfId="38" priority="35" operator="containsText" text="❌">
      <formula>NOT(ISERROR(SEARCH("❌",M9)))</formula>
    </cfRule>
  </conditionalFormatting>
  <conditionalFormatting sqref="AA15:AA16">
    <cfRule type="cellIs" dxfId="37" priority="30" operator="equal">
      <formula>"Muy Alta"</formula>
    </cfRule>
    <cfRule type="cellIs" dxfId="36" priority="31" operator="equal">
      <formula>"Alta"</formula>
    </cfRule>
    <cfRule type="cellIs" dxfId="35" priority="32" operator="equal">
      <formula>"Media"</formula>
    </cfRule>
    <cfRule type="cellIs" dxfId="34" priority="33" operator="equal">
      <formula>"Baja"</formula>
    </cfRule>
    <cfRule type="cellIs" dxfId="33" priority="34" operator="equal">
      <formula>"Muy Baja"</formula>
    </cfRule>
  </conditionalFormatting>
  <conditionalFormatting sqref="AC15:AC16">
    <cfRule type="cellIs" dxfId="32" priority="25" operator="equal">
      <formula>"Catastrófico"</formula>
    </cfRule>
    <cfRule type="cellIs" dxfId="31" priority="26" operator="equal">
      <formula>"Mayor"</formula>
    </cfRule>
    <cfRule type="cellIs" dxfId="30" priority="27" operator="equal">
      <formula>"Moderado"</formula>
    </cfRule>
    <cfRule type="cellIs" dxfId="29" priority="28" operator="equal">
      <formula>"Menor"</formula>
    </cfRule>
    <cfRule type="cellIs" dxfId="28" priority="29" operator="equal">
      <formula>"Leve"</formula>
    </cfRule>
  </conditionalFormatting>
  <conditionalFormatting sqref="AE15:AE16">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N33">
    <cfRule type="cellIs" dxfId="23" priority="16" operator="equal">
      <formula>"Catastrófico"</formula>
    </cfRule>
    <cfRule type="cellIs" dxfId="22" priority="17" operator="equal">
      <formula>"Mayor"</formula>
    </cfRule>
    <cfRule type="cellIs" dxfId="21" priority="18" operator="equal">
      <formula>"Moderado"</formula>
    </cfRule>
    <cfRule type="cellIs" dxfId="20" priority="19" operator="equal">
      <formula>"Menor"</formula>
    </cfRule>
    <cfRule type="cellIs" dxfId="19" priority="20" operator="equal">
      <formula>"Leve"</formula>
    </cfRule>
  </conditionalFormatting>
  <conditionalFormatting sqref="J33">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P33">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AA33:AA38">
    <cfRule type="cellIs" dxfId="9" priority="2" operator="equal">
      <formula>"Muy Alta"</formula>
    </cfRule>
    <cfRule type="cellIs" dxfId="8" priority="3" operator="equal">
      <formula>"Alta"</formula>
    </cfRule>
    <cfRule type="cellIs" dxfId="7" priority="4" operator="equal">
      <formula>"Media"</formula>
    </cfRule>
    <cfRule type="cellIs" dxfId="6" priority="5" operator="equal">
      <formula>"Baja"</formula>
    </cfRule>
    <cfRule type="cellIs" dxfId="5" priority="6" operator="equal">
      <formula>"Muy Baja"</formula>
    </cfRule>
  </conditionalFormatting>
  <conditionalFormatting sqref="M33:M38">
    <cfRule type="containsText" dxfId="4" priority="1" operator="containsText" text="❌">
      <formula>NOT(ISERROR(SEARCH("❌",M33)))</formula>
    </cfRule>
  </conditionalFormatting>
  <dataValidations count="8">
    <dataValidation type="list" allowBlank="1" showInputMessage="1" showErrorMessage="1" sqref="L130">
      <formula1>"Insignificante, Menor, Moderado, Mayor, Crítico"</formula1>
    </dataValidation>
    <dataValidation type="list" allowBlank="1" showInputMessage="1" showErrorMessage="1" sqref="S130">
      <formula1>"Preventivo, Detectivo, Correctivo"</formula1>
    </dataValidation>
    <dataValidation type="list" allowBlank="1" showInputMessage="1" showErrorMessage="1" sqref="T130">
      <formula1>"Autómatico, Manual"</formula1>
    </dataValidation>
    <dataValidation type="list" allowBlank="1" showInputMessage="1" showErrorMessage="1" sqref="V130">
      <formula1>"Documentado, Sin documentar"</formula1>
    </dataValidation>
    <dataValidation type="list" allowBlank="1" showInputMessage="1" showErrorMessage="1" sqref="W130">
      <formula1>"Continua, Aleatoria "</formula1>
    </dataValidation>
    <dataValidation type="list" allowBlank="1" showInputMessage="1" showErrorMessage="1" sqref="X130">
      <formula1>"Con resgistro, Sin registro"</formula1>
    </dataValidation>
    <dataValidation type="list" allowBlank="1" showInputMessage="1" showErrorMessage="1" sqref="G6 G9:G1048576">
      <formula1>"Estratégicos, Imagen, Operativos, Financieros,Cumplimiento,Tecnológicos, Fraude, Corrupción, Imparcialidad, Confidencialidad, Seguridad de la información "</formula1>
    </dataValidation>
    <dataValidation type="list" allowBlank="1" showInputMessage="1" showErrorMessage="1" sqref="H6 H9:H27 H39:H1048576 H33">
      <formula1>"Positivo (Oportunidad) , Negativo (Amenaza)"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'Tabla Valoración controles'!$D$4:$D$6</xm:f>
          </x14:formula1>
          <xm:sqref>T9:T128</xm:sqref>
        </x14:dataValidation>
        <x14:dataValidation type="list" allowBlank="1" showInputMessage="1" showErrorMessage="1">
          <x14:formula1>
            <xm:f>'Tabla Valoración controles'!$D$7:$D$8</xm:f>
          </x14:formula1>
          <xm:sqref>U9:U128</xm:sqref>
        </x14:dataValidation>
        <x14:dataValidation type="list" allowBlank="1" showInputMessage="1" showErrorMessage="1">
          <x14:formula1>
            <xm:f>'Tabla Valoración controles'!$D$9:$D$10</xm:f>
          </x14:formula1>
          <xm:sqref>W9:W128</xm:sqref>
        </x14:dataValidation>
        <x14:dataValidation type="list" allowBlank="1" showInputMessage="1" showErrorMessage="1">
          <x14:formula1>
            <xm:f>'Tabla Valoración controles'!$D$11:$D$12</xm:f>
          </x14:formula1>
          <xm:sqref>X9:X128</xm:sqref>
        </x14:dataValidation>
        <x14:dataValidation type="list" allowBlank="1" showInputMessage="1" showErrorMessage="1">
          <x14:formula1>
            <xm:f>'Opciones Tratamiento'!$B$9:$B$10</xm:f>
          </x14:formula1>
          <xm:sqref>AL9:AL10 AL12:AL13 AL15:AL16 AL18:AL19 AL21:AL22 AL24:AL25 AL27:AL28 AL30:AL31 AL33:AL37 AL39:AL40 AL42:AL43 AL45:AL46 AL48:AL49 AL51:AL52 AL54:AL55 AL57:AL58 AL60:AL61 AL63:AL64 AL66:AL67 AL69:AL70 AL72:AL73 AL75:AL76 AL78:AL79 AL81:AL82 AL84:AL85 AL87:AL88 AL90:AL91 AL93:AL94 AL96:AL97 AL99:AL100 AL102:AL103 AL105:AL106 AL108:AL109 AL111:AL112 AL114:AL115 AL117:AL118 AL120:AL121 AL123:AL124 AL126:AL127</xm:sqref>
        </x14:dataValidation>
        <x14:dataValidation type="list" allowBlank="1" showInputMessage="1" showErrorMessage="1">
          <x14:formula1>
            <xm:f>'Tabla Valoración controles'!$D$13:$D$14</xm:f>
          </x14:formula1>
          <xm:sqref>Y9:Y128</xm:sqref>
        </x14:dataValidation>
        <x14:dataValidation type="list" allowBlank="1" showInputMessage="1" showErrorMessage="1">
          <x14:formula1>
            <xm:f>'Opciones Tratamiento'!$B$2:$B$5</xm:f>
          </x14:formula1>
          <xm:sqref>AF9:AF128</xm:sqref>
        </x14:dataValidation>
        <x14:dataValidation type="list" allowBlank="1" showInputMessage="1" showErrorMessage="1">
          <x14:formula1>
            <xm:f>'Tabla Impacto'!$F$210:$F$221</xm:f>
          </x14:formula1>
          <xm:sqref>L9:L128</xm:sqref>
        </x14:dataValidation>
        <x14:dataValidation type="custom" allowBlank="1" showInputMessage="1" showErrorMessage="1" error="Recuerde que las acciones se generan bajo la medida de mitigar el riesgo">
          <x14:formula1>
            <xm:f>IF(OR(AF10='Opciones Tratamiento'!$B$2,AF10='Opciones Tratamiento'!$B$3,AF10='Opciones Tratamiento'!$B$4),ISBLANK(AF10),ISTEXT(AF10))</xm:f>
          </x14:formula1>
          <xm:sqref>AG10:AG14 AG16:AG21 AG23:AG26 AG29:AG33 AG36:AG128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AH9:AH26 AH29:AH33 AH36:AH128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AI9:AI128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AJ9:AJ128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AK9:AK128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U140"/>
  <sheetViews>
    <sheetView topLeftCell="A4" zoomScale="50" zoomScaleNormal="50" workbookViewId="0">
      <selection activeCell="P32" sqref="P32:U37"/>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28" t="s">
        <v>154</v>
      </c>
      <c r="C2" s="328"/>
      <c r="D2" s="328"/>
      <c r="E2" s="328"/>
      <c r="F2" s="328"/>
      <c r="G2" s="328"/>
      <c r="H2" s="328"/>
      <c r="I2" s="328"/>
      <c r="J2" s="295" t="s">
        <v>2</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28"/>
      <c r="C3" s="328"/>
      <c r="D3" s="328"/>
      <c r="E3" s="328"/>
      <c r="F3" s="328"/>
      <c r="G3" s="328"/>
      <c r="H3" s="328"/>
      <c r="I3" s="328"/>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28"/>
      <c r="C4" s="328"/>
      <c r="D4" s="328"/>
      <c r="E4" s="328"/>
      <c r="F4" s="328"/>
      <c r="G4" s="328"/>
      <c r="H4" s="328"/>
      <c r="I4" s="328"/>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41" t="s">
        <v>3</v>
      </c>
      <c r="C6" s="241"/>
      <c r="D6" s="242"/>
      <c r="E6" s="279" t="s">
        <v>112</v>
      </c>
      <c r="F6" s="280"/>
      <c r="G6" s="280"/>
      <c r="H6" s="280"/>
      <c r="I6" s="281"/>
      <c r="J6" s="291" t="str">
        <f>IF(AND('Mapa final'!$J$9="Muy Alta",'Mapa final'!$N$9="Leve"),CONCATENATE("R",'Mapa final'!$A$9),"")</f>
        <v/>
      </c>
      <c r="K6" s="292"/>
      <c r="L6" s="292" t="str">
        <f>IF(AND('Mapa final'!$J$15="Muy Alta",'Mapa final'!$N$15="Leve"),CONCATENATE("R",'Mapa final'!$A$15),"")</f>
        <v/>
      </c>
      <c r="M6" s="292"/>
      <c r="N6" s="292" t="str">
        <f>IF(AND('Mapa final'!$J$21="Muy Alta",'Mapa final'!$N$21="Leve"),CONCATENATE("R",'Mapa final'!$A$21),"")</f>
        <v/>
      </c>
      <c r="O6" s="294"/>
      <c r="P6" s="291" t="str">
        <f>IF(AND('Mapa final'!$J$9="Muy Alta",'Mapa final'!$N$9="Menor"),CONCATENATE("R",'Mapa final'!$A$9),"")</f>
        <v/>
      </c>
      <c r="Q6" s="292"/>
      <c r="R6" s="292" t="str">
        <f>IF(AND('Mapa final'!$J$15="Muy Alta",'Mapa final'!$N$15="Menor"),CONCATENATE("R",'Mapa final'!$A$15),"")</f>
        <v/>
      </c>
      <c r="S6" s="292"/>
      <c r="T6" s="292" t="str">
        <f>IF(AND('Mapa final'!$J$21="Muy Alta",'Mapa final'!$N$21="Menor"),CONCATENATE("R",'Mapa final'!$A$21),"")</f>
        <v/>
      </c>
      <c r="U6" s="294"/>
      <c r="V6" s="291" t="str">
        <f>IF(AND('Mapa final'!$J$9="Muy Alta",'Mapa final'!$N$9="Moderado"),CONCATENATE("R",'Mapa final'!$A$9),"")</f>
        <v/>
      </c>
      <c r="W6" s="292"/>
      <c r="X6" s="292" t="str">
        <f>IF(AND('Mapa final'!$J$15="Muy Alta",'Mapa final'!$N$15="Moderado"),CONCATENATE("R",'Mapa final'!$A$15),"")</f>
        <v/>
      </c>
      <c r="Y6" s="292"/>
      <c r="Z6" s="292" t="str">
        <f>IF(AND('Mapa final'!$J$21="Muy Alta",'Mapa final'!$N$21="Moderado"),CONCATENATE("R",'Mapa final'!$A$21),"")</f>
        <v/>
      </c>
      <c r="AA6" s="294"/>
      <c r="AB6" s="291" t="str">
        <f>IF(AND('Mapa final'!$J$9="Muy Alta",'Mapa final'!$N$9="Mayor"),CONCATENATE("R",'Mapa final'!$A$9),"")</f>
        <v/>
      </c>
      <c r="AC6" s="292"/>
      <c r="AD6" s="292" t="str">
        <f>IF(AND('Mapa final'!$J$15="Muy Alta",'Mapa final'!$N$15="Mayor"),CONCATENATE("R",'Mapa final'!$A$15),"")</f>
        <v/>
      </c>
      <c r="AE6" s="292"/>
      <c r="AF6" s="292" t="str">
        <f>IF(AND('Mapa final'!$J$21="Muy Alta",'Mapa final'!$N$21="Mayor"),CONCATENATE("R",'Mapa final'!$A$21),"")</f>
        <v/>
      </c>
      <c r="AG6" s="294"/>
      <c r="AH6" s="307" t="str">
        <f>IF(AND('Mapa final'!$J$9="Muy Alta",'Mapa final'!$N$9="Catastrófico"),CONCATENATE("R",'Mapa final'!$A$9),"")</f>
        <v/>
      </c>
      <c r="AI6" s="308"/>
      <c r="AJ6" s="308" t="str">
        <f>IF(AND('Mapa final'!$J$15="Muy Alta",'Mapa final'!$N$15="Catastrófico"),CONCATENATE("R",'Mapa final'!$A$15),"")</f>
        <v/>
      </c>
      <c r="AK6" s="308"/>
      <c r="AL6" s="308" t="str">
        <f>IF(AND('Mapa final'!$J$21="Muy Alta",'Mapa final'!$N$21="Catastrófico"),CONCATENATE("R",'Mapa final'!$A$21),"")</f>
        <v/>
      </c>
      <c r="AM6" s="309"/>
      <c r="AO6" s="243" t="s">
        <v>75</v>
      </c>
      <c r="AP6" s="244"/>
      <c r="AQ6" s="244"/>
      <c r="AR6" s="244"/>
      <c r="AS6" s="244"/>
      <c r="AT6" s="245"/>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41"/>
      <c r="C7" s="241"/>
      <c r="D7" s="242"/>
      <c r="E7" s="282"/>
      <c r="F7" s="283"/>
      <c r="G7" s="283"/>
      <c r="H7" s="283"/>
      <c r="I7" s="284"/>
      <c r="J7" s="293"/>
      <c r="K7" s="290"/>
      <c r="L7" s="290"/>
      <c r="M7" s="290"/>
      <c r="N7" s="290"/>
      <c r="O7" s="289"/>
      <c r="P7" s="293"/>
      <c r="Q7" s="290"/>
      <c r="R7" s="290"/>
      <c r="S7" s="290"/>
      <c r="T7" s="290"/>
      <c r="U7" s="289"/>
      <c r="V7" s="293"/>
      <c r="W7" s="290"/>
      <c r="X7" s="290"/>
      <c r="Y7" s="290"/>
      <c r="Z7" s="290"/>
      <c r="AA7" s="289"/>
      <c r="AB7" s="293"/>
      <c r="AC7" s="290"/>
      <c r="AD7" s="290"/>
      <c r="AE7" s="290"/>
      <c r="AF7" s="290"/>
      <c r="AG7" s="289"/>
      <c r="AH7" s="301"/>
      <c r="AI7" s="302"/>
      <c r="AJ7" s="302"/>
      <c r="AK7" s="302"/>
      <c r="AL7" s="302"/>
      <c r="AM7" s="303"/>
      <c r="AN7" s="70"/>
      <c r="AO7" s="246"/>
      <c r="AP7" s="247"/>
      <c r="AQ7" s="247"/>
      <c r="AR7" s="247"/>
      <c r="AS7" s="247"/>
      <c r="AT7" s="248"/>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41"/>
      <c r="C8" s="241"/>
      <c r="D8" s="242"/>
      <c r="E8" s="282"/>
      <c r="F8" s="283"/>
      <c r="G8" s="283"/>
      <c r="H8" s="283"/>
      <c r="I8" s="284"/>
      <c r="J8" s="293" t="str">
        <f>IF(AND('Mapa final'!$J$27="Muy Alta",'Mapa final'!$N$27="Leve"),CONCATENATE("R",'Mapa final'!$A$27),"")</f>
        <v/>
      </c>
      <c r="K8" s="290"/>
      <c r="L8" s="288" t="str">
        <f>IF(AND('Mapa final'!$J$33="Muy Alta",'Mapa final'!$N$33="Leve"),CONCATENATE("R",'Mapa final'!$A$33),"")</f>
        <v/>
      </c>
      <c r="M8" s="288"/>
      <c r="N8" s="288" t="str">
        <f>IF(AND('Mapa final'!$J$39="Muy Alta",'Mapa final'!$N$39="Leve"),CONCATENATE("R",'Mapa final'!$A$39),"")</f>
        <v/>
      </c>
      <c r="O8" s="289"/>
      <c r="P8" s="293" t="str">
        <f>IF(AND('Mapa final'!$J$27="Muy Alta",'Mapa final'!$N$27="Menor"),CONCATENATE("R",'Mapa final'!$A$27),"")</f>
        <v/>
      </c>
      <c r="Q8" s="290"/>
      <c r="R8" s="288" t="str">
        <f>IF(AND('Mapa final'!$J$33="Muy Alta",'Mapa final'!$N$33="Menor"),CONCATENATE("R",'Mapa final'!$A$33),"")</f>
        <v/>
      </c>
      <c r="S8" s="288"/>
      <c r="T8" s="288" t="str">
        <f>IF(AND('Mapa final'!$J$39="Muy Alta",'Mapa final'!$N$39="Menor"),CONCATENATE("R",'Mapa final'!$A$39),"")</f>
        <v/>
      </c>
      <c r="U8" s="289"/>
      <c r="V8" s="293" t="str">
        <f>IF(AND('Mapa final'!$J$27="Muy Alta",'Mapa final'!$N$27="Moderado"),CONCATENATE("R",'Mapa final'!$A$27),"")</f>
        <v/>
      </c>
      <c r="W8" s="290"/>
      <c r="X8" s="288" t="str">
        <f>IF(AND('Mapa final'!$J$33="Muy Alta",'Mapa final'!$N$33="Moderado"),CONCATENATE("R",'Mapa final'!$A$33),"")</f>
        <v/>
      </c>
      <c r="Y8" s="288"/>
      <c r="Z8" s="288" t="str">
        <f>IF(AND('Mapa final'!$J$39="Muy Alta",'Mapa final'!$N$39="Moderado"),CONCATENATE("R",'Mapa final'!$A$39),"")</f>
        <v/>
      </c>
      <c r="AA8" s="289"/>
      <c r="AB8" s="293" t="str">
        <f>IF(AND('Mapa final'!$J$27="Muy Alta",'Mapa final'!$N$27="Mayor"),CONCATENATE("R",'Mapa final'!$A$27),"")</f>
        <v/>
      </c>
      <c r="AC8" s="290"/>
      <c r="AD8" s="288" t="str">
        <f>IF(AND('Mapa final'!$J$33="Muy Alta",'Mapa final'!$N$33="Mayor"),CONCATENATE("R",'Mapa final'!$A$33),"")</f>
        <v/>
      </c>
      <c r="AE8" s="288"/>
      <c r="AF8" s="288" t="str">
        <f>IF(AND('Mapa final'!$J$39="Muy Alta",'Mapa final'!$N$39="Mayor"),CONCATENATE("R",'Mapa final'!$A$39),"")</f>
        <v/>
      </c>
      <c r="AG8" s="289"/>
      <c r="AH8" s="301" t="str">
        <f>IF(AND('Mapa final'!$J$27="Muy Alta",'Mapa final'!$N$27="Catastrófico"),CONCATENATE("R",'Mapa final'!$A$27),"")</f>
        <v/>
      </c>
      <c r="AI8" s="302"/>
      <c r="AJ8" s="302" t="str">
        <f>IF(AND('Mapa final'!$J$33="Muy Alta",'Mapa final'!$N$33="Catastrófico"),CONCATENATE("R",'Mapa final'!$A$33),"")</f>
        <v/>
      </c>
      <c r="AK8" s="302"/>
      <c r="AL8" s="302" t="str">
        <f>IF(AND('Mapa final'!$J$39="Muy Alta",'Mapa final'!$N$39="Catastrófico"),CONCATENATE("R",'Mapa final'!$A$39),"")</f>
        <v/>
      </c>
      <c r="AM8" s="303"/>
      <c r="AN8" s="70"/>
      <c r="AO8" s="246"/>
      <c r="AP8" s="247"/>
      <c r="AQ8" s="247"/>
      <c r="AR8" s="247"/>
      <c r="AS8" s="247"/>
      <c r="AT8" s="248"/>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41"/>
      <c r="C9" s="241"/>
      <c r="D9" s="242"/>
      <c r="E9" s="282"/>
      <c r="F9" s="283"/>
      <c r="G9" s="283"/>
      <c r="H9" s="283"/>
      <c r="I9" s="284"/>
      <c r="J9" s="293"/>
      <c r="K9" s="290"/>
      <c r="L9" s="288"/>
      <c r="M9" s="288"/>
      <c r="N9" s="288"/>
      <c r="O9" s="289"/>
      <c r="P9" s="293"/>
      <c r="Q9" s="290"/>
      <c r="R9" s="288"/>
      <c r="S9" s="288"/>
      <c r="T9" s="288"/>
      <c r="U9" s="289"/>
      <c r="V9" s="293"/>
      <c r="W9" s="290"/>
      <c r="X9" s="288"/>
      <c r="Y9" s="288"/>
      <c r="Z9" s="288"/>
      <c r="AA9" s="289"/>
      <c r="AB9" s="293"/>
      <c r="AC9" s="290"/>
      <c r="AD9" s="288"/>
      <c r="AE9" s="288"/>
      <c r="AF9" s="288"/>
      <c r="AG9" s="289"/>
      <c r="AH9" s="301"/>
      <c r="AI9" s="302"/>
      <c r="AJ9" s="302"/>
      <c r="AK9" s="302"/>
      <c r="AL9" s="302"/>
      <c r="AM9" s="303"/>
      <c r="AN9" s="70"/>
      <c r="AO9" s="246"/>
      <c r="AP9" s="247"/>
      <c r="AQ9" s="247"/>
      <c r="AR9" s="247"/>
      <c r="AS9" s="247"/>
      <c r="AT9" s="248"/>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41"/>
      <c r="C10" s="241"/>
      <c r="D10" s="242"/>
      <c r="E10" s="282"/>
      <c r="F10" s="283"/>
      <c r="G10" s="283"/>
      <c r="H10" s="283"/>
      <c r="I10" s="284"/>
      <c r="J10" s="293" t="str">
        <f>IF(AND('Mapa final'!$J$45="Muy Alta",'Mapa final'!$N$45="Leve"),CONCATENATE("R",'Mapa final'!$A$45),"")</f>
        <v/>
      </c>
      <c r="K10" s="290"/>
      <c r="L10" s="288" t="str">
        <f>IF(AND('Mapa final'!$J$51="Muy Alta",'Mapa final'!$N$51="Leve"),CONCATENATE("R",'Mapa final'!$A$51),"")</f>
        <v/>
      </c>
      <c r="M10" s="288"/>
      <c r="N10" s="288" t="str">
        <f>IF(AND('Mapa final'!$J$57="Muy Alta",'Mapa final'!$N$57="Leve"),CONCATENATE("R",'Mapa final'!$A$57),"")</f>
        <v/>
      </c>
      <c r="O10" s="289"/>
      <c r="P10" s="293" t="str">
        <f>IF(AND('Mapa final'!$J$45="Muy Alta",'Mapa final'!$N$45="Menor"),CONCATENATE("R",'Mapa final'!$A$45),"")</f>
        <v/>
      </c>
      <c r="Q10" s="290"/>
      <c r="R10" s="288" t="str">
        <f>IF(AND('Mapa final'!$J$51="Muy Alta",'Mapa final'!$N$51="Menor"),CONCATENATE("R",'Mapa final'!$A$51),"")</f>
        <v/>
      </c>
      <c r="S10" s="288"/>
      <c r="T10" s="288" t="str">
        <f>IF(AND('Mapa final'!$J$57="Muy Alta",'Mapa final'!$N$57="Menor"),CONCATENATE("R",'Mapa final'!$A$57),"")</f>
        <v/>
      </c>
      <c r="U10" s="289"/>
      <c r="V10" s="293" t="str">
        <f>IF(AND('Mapa final'!$J$45="Muy Alta",'Mapa final'!$N$45="Moderado"),CONCATENATE("R",'Mapa final'!$A$45),"")</f>
        <v/>
      </c>
      <c r="W10" s="290"/>
      <c r="X10" s="288" t="str">
        <f>IF(AND('Mapa final'!$J$51="Muy Alta",'Mapa final'!$N$51="Moderado"),CONCATENATE("R",'Mapa final'!$A$51),"")</f>
        <v/>
      </c>
      <c r="Y10" s="288"/>
      <c r="Z10" s="288" t="str">
        <f>IF(AND('Mapa final'!$J$57="Muy Alta",'Mapa final'!$N$57="Moderado"),CONCATENATE("R",'Mapa final'!$A$57),"")</f>
        <v/>
      </c>
      <c r="AA10" s="289"/>
      <c r="AB10" s="293" t="str">
        <f>IF(AND('Mapa final'!$J$45="Muy Alta",'Mapa final'!$N$45="Mayor"),CONCATENATE("R",'Mapa final'!$A$45),"")</f>
        <v/>
      </c>
      <c r="AC10" s="290"/>
      <c r="AD10" s="288" t="str">
        <f>IF(AND('Mapa final'!$J$51="Muy Alta",'Mapa final'!$N$51="Mayor"),CONCATENATE("R",'Mapa final'!$A$51),"")</f>
        <v/>
      </c>
      <c r="AE10" s="288"/>
      <c r="AF10" s="288" t="str">
        <f>IF(AND('Mapa final'!$J$57="Muy Alta",'Mapa final'!$N$57="Mayor"),CONCATENATE("R",'Mapa final'!$A$57),"")</f>
        <v/>
      </c>
      <c r="AG10" s="289"/>
      <c r="AH10" s="301" t="str">
        <f>IF(AND('Mapa final'!$J$45="Muy Alta",'Mapa final'!$N$45="Catastrófico"),CONCATENATE("R",'Mapa final'!$A$45),"")</f>
        <v/>
      </c>
      <c r="AI10" s="302"/>
      <c r="AJ10" s="302" t="str">
        <f>IF(AND('Mapa final'!$J$51="Muy Alta",'Mapa final'!$N$51="Catastrófico"),CONCATENATE("R",'Mapa final'!$A$51),"")</f>
        <v/>
      </c>
      <c r="AK10" s="302"/>
      <c r="AL10" s="302" t="str">
        <f>IF(AND('Mapa final'!$J$57="Muy Alta",'Mapa final'!$N$57="Catastrófico"),CONCATENATE("R",'Mapa final'!$A$57),"")</f>
        <v/>
      </c>
      <c r="AM10" s="303"/>
      <c r="AN10" s="70"/>
      <c r="AO10" s="246"/>
      <c r="AP10" s="247"/>
      <c r="AQ10" s="247"/>
      <c r="AR10" s="247"/>
      <c r="AS10" s="247"/>
      <c r="AT10" s="248"/>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41"/>
      <c r="C11" s="241"/>
      <c r="D11" s="242"/>
      <c r="E11" s="282"/>
      <c r="F11" s="283"/>
      <c r="G11" s="283"/>
      <c r="H11" s="283"/>
      <c r="I11" s="284"/>
      <c r="J11" s="293"/>
      <c r="K11" s="290"/>
      <c r="L11" s="288"/>
      <c r="M11" s="288"/>
      <c r="N11" s="288"/>
      <c r="O11" s="289"/>
      <c r="P11" s="293"/>
      <c r="Q11" s="290"/>
      <c r="R11" s="288"/>
      <c r="S11" s="288"/>
      <c r="T11" s="288"/>
      <c r="U11" s="289"/>
      <c r="V11" s="293"/>
      <c r="W11" s="290"/>
      <c r="X11" s="288"/>
      <c r="Y11" s="288"/>
      <c r="Z11" s="288"/>
      <c r="AA11" s="289"/>
      <c r="AB11" s="293"/>
      <c r="AC11" s="290"/>
      <c r="AD11" s="288"/>
      <c r="AE11" s="288"/>
      <c r="AF11" s="288"/>
      <c r="AG11" s="289"/>
      <c r="AH11" s="301"/>
      <c r="AI11" s="302"/>
      <c r="AJ11" s="302"/>
      <c r="AK11" s="302"/>
      <c r="AL11" s="302"/>
      <c r="AM11" s="303"/>
      <c r="AN11" s="70"/>
      <c r="AO11" s="246"/>
      <c r="AP11" s="247"/>
      <c r="AQ11" s="247"/>
      <c r="AR11" s="247"/>
      <c r="AS11" s="247"/>
      <c r="AT11" s="248"/>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41"/>
      <c r="C12" s="241"/>
      <c r="D12" s="242"/>
      <c r="E12" s="282"/>
      <c r="F12" s="283"/>
      <c r="G12" s="283"/>
      <c r="H12" s="283"/>
      <c r="I12" s="284"/>
      <c r="J12" s="293" t="str">
        <f>IF(AND('Mapa final'!$J$63="Muy Alta",'Mapa final'!$N$63="Leve"),CONCATENATE("R",'Mapa final'!$A$63),"")</f>
        <v/>
      </c>
      <c r="K12" s="290"/>
      <c r="L12" s="288" t="str">
        <f>IF(AND('Mapa final'!$J$70="Muy Alta",'Mapa final'!$N$70="Leve"),CONCATENATE("R",'Mapa final'!$A$70),"")</f>
        <v/>
      </c>
      <c r="M12" s="288"/>
      <c r="N12" s="288" t="str">
        <f>IF(AND('Mapa final'!$J$76="Muy Alta",'Mapa final'!$N$76="Leve"),CONCATENATE("R",'Mapa final'!$A$76),"")</f>
        <v/>
      </c>
      <c r="O12" s="289"/>
      <c r="P12" s="293" t="str">
        <f>IF(AND('Mapa final'!$J$63="Muy Alta",'Mapa final'!$N$63="Menor"),CONCATENATE("R",'Mapa final'!$A$63),"")</f>
        <v/>
      </c>
      <c r="Q12" s="290"/>
      <c r="R12" s="288" t="str">
        <f>IF(AND('Mapa final'!$J$70="Muy Alta",'Mapa final'!$N$70="Menor"),CONCATENATE("R",'Mapa final'!$A$70),"")</f>
        <v/>
      </c>
      <c r="S12" s="288"/>
      <c r="T12" s="288" t="str">
        <f>IF(AND('Mapa final'!$J$76="Muy Alta",'Mapa final'!$N$76="Menor"),CONCATENATE("R",'Mapa final'!$A$76),"")</f>
        <v/>
      </c>
      <c r="U12" s="289"/>
      <c r="V12" s="293" t="str">
        <f>IF(AND('Mapa final'!$J$63="Muy Alta",'Mapa final'!$N$63="Moderado"),CONCATENATE("R",'Mapa final'!$A$63),"")</f>
        <v/>
      </c>
      <c r="W12" s="290"/>
      <c r="X12" s="288" t="str">
        <f>IF(AND('Mapa final'!$J$70="Muy Alta",'Mapa final'!$N$70="Moderado"),CONCATENATE("R",'Mapa final'!$A$70),"")</f>
        <v/>
      </c>
      <c r="Y12" s="288"/>
      <c r="Z12" s="288" t="str">
        <f>IF(AND('Mapa final'!$J$76="Muy Alta",'Mapa final'!$N$76="Moderado"),CONCATENATE("R",'Mapa final'!$A$76),"")</f>
        <v/>
      </c>
      <c r="AA12" s="289"/>
      <c r="AB12" s="293" t="str">
        <f>IF(AND('Mapa final'!$J$63="Muy Alta",'Mapa final'!$N$63="Mayor"),CONCATENATE("R",'Mapa final'!$A$63),"")</f>
        <v/>
      </c>
      <c r="AC12" s="290"/>
      <c r="AD12" s="288" t="str">
        <f>IF(AND('Mapa final'!$J$70="Muy Alta",'Mapa final'!$N$70="Mayor"),CONCATENATE("R",'Mapa final'!$A$70),"")</f>
        <v/>
      </c>
      <c r="AE12" s="288"/>
      <c r="AF12" s="288" t="str">
        <f>IF(AND('Mapa final'!$J$76="Muy Alta",'Mapa final'!$N$76="Mayor"),CONCATENATE("R",'Mapa final'!$A$76),"")</f>
        <v/>
      </c>
      <c r="AG12" s="289"/>
      <c r="AH12" s="301" t="str">
        <f>IF(AND('Mapa final'!$J$63="Muy Alta",'Mapa final'!$N$63="Catastrófico"),CONCATENATE("R",'Mapa final'!$A$63),"")</f>
        <v/>
      </c>
      <c r="AI12" s="302"/>
      <c r="AJ12" s="302" t="str">
        <f>IF(AND('Mapa final'!$J$70="Muy Alta",'Mapa final'!$N$70="Catastrófico"),CONCATENATE("R",'Mapa final'!$A$70),"")</f>
        <v/>
      </c>
      <c r="AK12" s="302"/>
      <c r="AL12" s="302" t="str">
        <f>IF(AND('Mapa final'!$J$76="Muy Alta",'Mapa final'!$N$76="Catastrófico"),CONCATENATE("R",'Mapa final'!$A$76),"")</f>
        <v/>
      </c>
      <c r="AM12" s="303"/>
      <c r="AN12" s="70"/>
      <c r="AO12" s="246"/>
      <c r="AP12" s="247"/>
      <c r="AQ12" s="247"/>
      <c r="AR12" s="247"/>
      <c r="AS12" s="247"/>
      <c r="AT12" s="248"/>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41"/>
      <c r="C13" s="241"/>
      <c r="D13" s="242"/>
      <c r="E13" s="285"/>
      <c r="F13" s="286"/>
      <c r="G13" s="286"/>
      <c r="H13" s="286"/>
      <c r="I13" s="287"/>
      <c r="J13" s="293"/>
      <c r="K13" s="290"/>
      <c r="L13" s="290"/>
      <c r="M13" s="290"/>
      <c r="N13" s="290"/>
      <c r="O13" s="289"/>
      <c r="P13" s="293"/>
      <c r="Q13" s="290"/>
      <c r="R13" s="290"/>
      <c r="S13" s="290"/>
      <c r="T13" s="290"/>
      <c r="U13" s="289"/>
      <c r="V13" s="293"/>
      <c r="W13" s="290"/>
      <c r="X13" s="290"/>
      <c r="Y13" s="290"/>
      <c r="Z13" s="290"/>
      <c r="AA13" s="289"/>
      <c r="AB13" s="293"/>
      <c r="AC13" s="290"/>
      <c r="AD13" s="290"/>
      <c r="AE13" s="290"/>
      <c r="AF13" s="290"/>
      <c r="AG13" s="289"/>
      <c r="AH13" s="304"/>
      <c r="AI13" s="305"/>
      <c r="AJ13" s="305"/>
      <c r="AK13" s="305"/>
      <c r="AL13" s="305"/>
      <c r="AM13" s="306"/>
      <c r="AN13" s="70"/>
      <c r="AO13" s="249"/>
      <c r="AP13" s="250"/>
      <c r="AQ13" s="250"/>
      <c r="AR13" s="250"/>
      <c r="AS13" s="250"/>
      <c r="AT13" s="251"/>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41"/>
      <c r="C14" s="241"/>
      <c r="D14" s="242"/>
      <c r="E14" s="279" t="s">
        <v>111</v>
      </c>
      <c r="F14" s="280"/>
      <c r="G14" s="280"/>
      <c r="H14" s="280"/>
      <c r="I14" s="280"/>
      <c r="J14" s="316" t="str">
        <f>IF(AND('Mapa final'!$J$9="Alta",'Mapa final'!$N$9="Leve"),CONCATENATE("R",'Mapa final'!$A$9),"")</f>
        <v/>
      </c>
      <c r="K14" s="317"/>
      <c r="L14" s="317" t="str">
        <f>IF(AND('Mapa final'!$J$15="Alta",'Mapa final'!$N$15="Leve"),CONCATENATE("R",'Mapa final'!$A$15),"")</f>
        <v/>
      </c>
      <c r="M14" s="317"/>
      <c r="N14" s="317" t="str">
        <f>IF(AND('Mapa final'!$J$21="Alta",'Mapa final'!$N$21="Leve"),CONCATENATE("R",'Mapa final'!$A$21),"")</f>
        <v/>
      </c>
      <c r="O14" s="318"/>
      <c r="P14" s="316" t="str">
        <f>IF(AND('Mapa final'!$J$9="Alta",'Mapa final'!$N$9="Menor"),CONCATENATE("R",'Mapa final'!$A$9),"")</f>
        <v/>
      </c>
      <c r="Q14" s="317"/>
      <c r="R14" s="317" t="str">
        <f>IF(AND('Mapa final'!$J$15="Alta",'Mapa final'!$N$15="Menor"),CONCATENATE("R",'Mapa final'!$A$15),"")</f>
        <v/>
      </c>
      <c r="S14" s="317"/>
      <c r="T14" s="317" t="str">
        <f>IF(AND('Mapa final'!$J$21="Alta",'Mapa final'!$N$21="Menor"),CONCATENATE("R",'Mapa final'!$A$21),"")</f>
        <v/>
      </c>
      <c r="U14" s="318"/>
      <c r="V14" s="291" t="str">
        <f>IF(AND('Mapa final'!$J$9="Alta",'Mapa final'!$N$9="Moderado"),CONCATENATE("R",'Mapa final'!$A$9),"")</f>
        <v/>
      </c>
      <c r="W14" s="292"/>
      <c r="X14" s="292" t="str">
        <f>IF(AND('Mapa final'!$J$15="Alta",'Mapa final'!$N$15="Moderado"),CONCATENATE("R",'Mapa final'!$A$15),"")</f>
        <v/>
      </c>
      <c r="Y14" s="292"/>
      <c r="Z14" s="292" t="str">
        <f>IF(AND('Mapa final'!$J$21="Alta",'Mapa final'!$N$21="Moderado"),CONCATENATE("R",'Mapa final'!$A$21),"")</f>
        <v/>
      </c>
      <c r="AA14" s="294"/>
      <c r="AB14" s="291" t="str">
        <f>IF(AND('Mapa final'!$J$9="Alta",'Mapa final'!$N$9="Mayor"),CONCATENATE("R",'Mapa final'!$A$9),"")</f>
        <v/>
      </c>
      <c r="AC14" s="292"/>
      <c r="AD14" s="292" t="str">
        <f>IF(AND('Mapa final'!$J$15="Alta",'Mapa final'!$N$15="Mayor"),CONCATENATE("R",'Mapa final'!$A$15),"")</f>
        <v/>
      </c>
      <c r="AE14" s="292"/>
      <c r="AF14" s="292" t="str">
        <f>IF(AND('Mapa final'!$J$21="Alta",'Mapa final'!$N$21="Mayor"),CONCATENATE("R",'Mapa final'!$A$21),"")</f>
        <v/>
      </c>
      <c r="AG14" s="294"/>
      <c r="AH14" s="307" t="str">
        <f>IF(AND('Mapa final'!$J$9="Alta",'Mapa final'!$N$9="Catastrófico"),CONCATENATE("R",'Mapa final'!$A$9),"")</f>
        <v/>
      </c>
      <c r="AI14" s="308"/>
      <c r="AJ14" s="308" t="str">
        <f>IF(AND('Mapa final'!$J$15="Alta",'Mapa final'!$N$15="Catastrófico"),CONCATENATE("R",'Mapa final'!$A$15),"")</f>
        <v/>
      </c>
      <c r="AK14" s="308"/>
      <c r="AL14" s="308" t="str">
        <f>IF(AND('Mapa final'!$J$21="Alta",'Mapa final'!$N$21="Catastrófico"),CONCATENATE("R",'Mapa final'!$A$21),"")</f>
        <v/>
      </c>
      <c r="AM14" s="309"/>
      <c r="AN14" s="70"/>
      <c r="AO14" s="252" t="s">
        <v>76</v>
      </c>
      <c r="AP14" s="253"/>
      <c r="AQ14" s="253"/>
      <c r="AR14" s="253"/>
      <c r="AS14" s="253"/>
      <c r="AT14" s="254"/>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41"/>
      <c r="C15" s="241"/>
      <c r="D15" s="242"/>
      <c r="E15" s="282"/>
      <c r="F15" s="283"/>
      <c r="G15" s="283"/>
      <c r="H15" s="283"/>
      <c r="I15" s="296"/>
      <c r="J15" s="310"/>
      <c r="K15" s="311"/>
      <c r="L15" s="311"/>
      <c r="M15" s="311"/>
      <c r="N15" s="311"/>
      <c r="O15" s="312"/>
      <c r="P15" s="310"/>
      <c r="Q15" s="311"/>
      <c r="R15" s="311"/>
      <c r="S15" s="311"/>
      <c r="T15" s="311"/>
      <c r="U15" s="312"/>
      <c r="V15" s="293"/>
      <c r="W15" s="290"/>
      <c r="X15" s="290"/>
      <c r="Y15" s="290"/>
      <c r="Z15" s="290"/>
      <c r="AA15" s="289"/>
      <c r="AB15" s="293"/>
      <c r="AC15" s="290"/>
      <c r="AD15" s="290"/>
      <c r="AE15" s="290"/>
      <c r="AF15" s="290"/>
      <c r="AG15" s="289"/>
      <c r="AH15" s="301"/>
      <c r="AI15" s="302"/>
      <c r="AJ15" s="302"/>
      <c r="AK15" s="302"/>
      <c r="AL15" s="302"/>
      <c r="AM15" s="303"/>
      <c r="AN15" s="70"/>
      <c r="AO15" s="255"/>
      <c r="AP15" s="256"/>
      <c r="AQ15" s="256"/>
      <c r="AR15" s="256"/>
      <c r="AS15" s="256"/>
      <c r="AT15" s="257"/>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41"/>
      <c r="C16" s="241"/>
      <c r="D16" s="242"/>
      <c r="E16" s="282"/>
      <c r="F16" s="283"/>
      <c r="G16" s="283"/>
      <c r="H16" s="283"/>
      <c r="I16" s="296"/>
      <c r="J16" s="310" t="str">
        <f>IF(AND('Mapa final'!$J$27="Alta",'Mapa final'!$N$27="Leve"),CONCATENATE("R",'Mapa final'!$A$27),"")</f>
        <v/>
      </c>
      <c r="K16" s="311"/>
      <c r="L16" s="311" t="str">
        <f>IF(AND('Mapa final'!$J$33="Alta",'Mapa final'!$N$33="Leve"),CONCATENATE("R",'Mapa final'!$A$33),"")</f>
        <v/>
      </c>
      <c r="M16" s="311"/>
      <c r="N16" s="311" t="str">
        <f>IF(AND('Mapa final'!$J$39="Alta",'Mapa final'!$N$39="Leve"),CONCATENATE("R",'Mapa final'!$A$39),"")</f>
        <v/>
      </c>
      <c r="O16" s="312"/>
      <c r="P16" s="310" t="str">
        <f>IF(AND('Mapa final'!$J$27="Alta",'Mapa final'!$N$27="Menor"),CONCATENATE("R",'Mapa final'!$A$27),"")</f>
        <v/>
      </c>
      <c r="Q16" s="311"/>
      <c r="R16" s="311" t="str">
        <f>IF(AND('Mapa final'!$J$33="Alta",'Mapa final'!$N$33="Menor"),CONCATENATE("R",'Mapa final'!$A$33),"")</f>
        <v/>
      </c>
      <c r="S16" s="311"/>
      <c r="T16" s="311" t="str">
        <f>IF(AND('Mapa final'!$J$39="Alta",'Mapa final'!$N$39="Menor"),CONCATENATE("R",'Mapa final'!$A$39),"")</f>
        <v/>
      </c>
      <c r="U16" s="312"/>
      <c r="V16" s="293" t="str">
        <f>IF(AND('Mapa final'!$J$27="Alta",'Mapa final'!$N$27="Moderado"),CONCATENATE("R",'Mapa final'!$A$27),"")</f>
        <v/>
      </c>
      <c r="W16" s="290"/>
      <c r="X16" s="288" t="str">
        <f>IF(AND('Mapa final'!$J$33="Alta",'Mapa final'!$N$33="Moderado"),CONCATENATE("R",'Mapa final'!$A$33),"")</f>
        <v/>
      </c>
      <c r="Y16" s="288"/>
      <c r="Z16" s="288" t="str">
        <f>IF(AND('Mapa final'!$J$39="Alta",'Mapa final'!$N$39="Moderado"),CONCATENATE("R",'Mapa final'!$A$39),"")</f>
        <v/>
      </c>
      <c r="AA16" s="289"/>
      <c r="AB16" s="293" t="str">
        <f>IF(AND('Mapa final'!$J$27="Alta",'Mapa final'!$N$27="Mayor"),CONCATENATE("R",'Mapa final'!$A$27),"")</f>
        <v/>
      </c>
      <c r="AC16" s="290"/>
      <c r="AD16" s="288" t="str">
        <f>IF(AND('Mapa final'!$J$33="Alta",'Mapa final'!$N$33="Mayor"),CONCATENATE("R",'Mapa final'!$A$33),"")</f>
        <v/>
      </c>
      <c r="AE16" s="288"/>
      <c r="AF16" s="288" t="str">
        <f>IF(AND('Mapa final'!$J$39="Alta",'Mapa final'!$N$39="Mayor"),CONCATENATE("R",'Mapa final'!$A$39),"")</f>
        <v/>
      </c>
      <c r="AG16" s="289"/>
      <c r="AH16" s="301" t="str">
        <f>IF(AND('Mapa final'!$J$27="Alta",'Mapa final'!$N$27="Catastrófico"),CONCATENATE("R",'Mapa final'!$A$27),"")</f>
        <v/>
      </c>
      <c r="AI16" s="302"/>
      <c r="AJ16" s="302" t="str">
        <f>IF(AND('Mapa final'!$J$33="Alta",'Mapa final'!$N$33="Catastrófico"),CONCATENATE("R",'Mapa final'!$A$33),"")</f>
        <v/>
      </c>
      <c r="AK16" s="302"/>
      <c r="AL16" s="302" t="str">
        <f>IF(AND('Mapa final'!$J$39="Alta",'Mapa final'!$N$39="Catastrófico"),CONCATENATE("R",'Mapa final'!$A$39),"")</f>
        <v/>
      </c>
      <c r="AM16" s="303"/>
      <c r="AN16" s="70"/>
      <c r="AO16" s="255"/>
      <c r="AP16" s="256"/>
      <c r="AQ16" s="256"/>
      <c r="AR16" s="256"/>
      <c r="AS16" s="256"/>
      <c r="AT16" s="257"/>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41"/>
      <c r="C17" s="241"/>
      <c r="D17" s="242"/>
      <c r="E17" s="282"/>
      <c r="F17" s="283"/>
      <c r="G17" s="283"/>
      <c r="H17" s="283"/>
      <c r="I17" s="296"/>
      <c r="J17" s="310"/>
      <c r="K17" s="311"/>
      <c r="L17" s="311"/>
      <c r="M17" s="311"/>
      <c r="N17" s="311"/>
      <c r="O17" s="312"/>
      <c r="P17" s="310"/>
      <c r="Q17" s="311"/>
      <c r="R17" s="311"/>
      <c r="S17" s="311"/>
      <c r="T17" s="311"/>
      <c r="U17" s="312"/>
      <c r="V17" s="293"/>
      <c r="W17" s="290"/>
      <c r="X17" s="288"/>
      <c r="Y17" s="288"/>
      <c r="Z17" s="288"/>
      <c r="AA17" s="289"/>
      <c r="AB17" s="293"/>
      <c r="AC17" s="290"/>
      <c r="AD17" s="288"/>
      <c r="AE17" s="288"/>
      <c r="AF17" s="288"/>
      <c r="AG17" s="289"/>
      <c r="AH17" s="301"/>
      <c r="AI17" s="302"/>
      <c r="AJ17" s="302"/>
      <c r="AK17" s="302"/>
      <c r="AL17" s="302"/>
      <c r="AM17" s="303"/>
      <c r="AN17" s="70"/>
      <c r="AO17" s="255"/>
      <c r="AP17" s="256"/>
      <c r="AQ17" s="256"/>
      <c r="AR17" s="256"/>
      <c r="AS17" s="256"/>
      <c r="AT17" s="257"/>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41"/>
      <c r="C18" s="241"/>
      <c r="D18" s="242"/>
      <c r="E18" s="282"/>
      <c r="F18" s="283"/>
      <c r="G18" s="283"/>
      <c r="H18" s="283"/>
      <c r="I18" s="296"/>
      <c r="J18" s="310" t="str">
        <f>IF(AND('Mapa final'!$J$45="Alta",'Mapa final'!$N$45="Leve"),CONCATENATE("R",'Mapa final'!$A$45),"")</f>
        <v/>
      </c>
      <c r="K18" s="311"/>
      <c r="L18" s="311" t="str">
        <f>IF(AND('Mapa final'!$J$51="Alta",'Mapa final'!$N$51="Leve"),CONCATENATE("R",'Mapa final'!$A$51),"")</f>
        <v/>
      </c>
      <c r="M18" s="311"/>
      <c r="N18" s="311" t="str">
        <f>IF(AND('Mapa final'!$J$57="Alta",'Mapa final'!$N$57="Leve"),CONCATENATE("R",'Mapa final'!$A$57),"")</f>
        <v/>
      </c>
      <c r="O18" s="312"/>
      <c r="P18" s="310" t="str">
        <f>IF(AND('Mapa final'!$J$45="Alta",'Mapa final'!$N$45="Menor"),CONCATENATE("R",'Mapa final'!$A$45),"")</f>
        <v/>
      </c>
      <c r="Q18" s="311"/>
      <c r="R18" s="311" t="str">
        <f>IF(AND('Mapa final'!$J$51="Alta",'Mapa final'!$N$51="Menor"),CONCATENATE("R",'Mapa final'!$A$51),"")</f>
        <v/>
      </c>
      <c r="S18" s="311"/>
      <c r="T18" s="311" t="str">
        <f>IF(AND('Mapa final'!$J$57="Alta",'Mapa final'!$N$57="Menor"),CONCATENATE("R",'Mapa final'!$A$57),"")</f>
        <v/>
      </c>
      <c r="U18" s="312"/>
      <c r="V18" s="293" t="str">
        <f>IF(AND('Mapa final'!$J$45="Alta",'Mapa final'!$N$45="Moderado"),CONCATENATE("R",'Mapa final'!$A$45),"")</f>
        <v/>
      </c>
      <c r="W18" s="290"/>
      <c r="X18" s="288" t="str">
        <f>IF(AND('Mapa final'!$J$51="Alta",'Mapa final'!$N$51="Moderado"),CONCATENATE("R",'Mapa final'!$A$51),"")</f>
        <v/>
      </c>
      <c r="Y18" s="288"/>
      <c r="Z18" s="288" t="str">
        <f>IF(AND('Mapa final'!$J$57="Alta",'Mapa final'!$N$57="Moderado"),CONCATENATE("R",'Mapa final'!$A$57),"")</f>
        <v/>
      </c>
      <c r="AA18" s="289"/>
      <c r="AB18" s="293" t="str">
        <f>IF(AND('Mapa final'!$J$45="Alta",'Mapa final'!$N$45="Mayor"),CONCATENATE("R",'Mapa final'!$A$45),"")</f>
        <v/>
      </c>
      <c r="AC18" s="290"/>
      <c r="AD18" s="288" t="str">
        <f>IF(AND('Mapa final'!$J$51="Alta",'Mapa final'!$N$51="Mayor"),CONCATENATE("R",'Mapa final'!$A$51),"")</f>
        <v/>
      </c>
      <c r="AE18" s="288"/>
      <c r="AF18" s="288" t="str">
        <f>IF(AND('Mapa final'!$J$57="Alta",'Mapa final'!$N$57="Mayor"),CONCATENATE("R",'Mapa final'!$A$57),"")</f>
        <v/>
      </c>
      <c r="AG18" s="289"/>
      <c r="AH18" s="301" t="str">
        <f>IF(AND('Mapa final'!$J$45="Alta",'Mapa final'!$N$45="Catastrófico"),CONCATENATE("R",'Mapa final'!$A$45),"")</f>
        <v/>
      </c>
      <c r="AI18" s="302"/>
      <c r="AJ18" s="302" t="str">
        <f>IF(AND('Mapa final'!$J$51="Alta",'Mapa final'!$N$51="Catastrófico"),CONCATENATE("R",'Mapa final'!$A$51),"")</f>
        <v/>
      </c>
      <c r="AK18" s="302"/>
      <c r="AL18" s="302" t="str">
        <f>IF(AND('Mapa final'!$J$57="Alta",'Mapa final'!$N$57="Catastrófico"),CONCATENATE("R",'Mapa final'!$A$57),"")</f>
        <v/>
      </c>
      <c r="AM18" s="303"/>
      <c r="AN18" s="70"/>
      <c r="AO18" s="255"/>
      <c r="AP18" s="256"/>
      <c r="AQ18" s="256"/>
      <c r="AR18" s="256"/>
      <c r="AS18" s="256"/>
      <c r="AT18" s="257"/>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41"/>
      <c r="C19" s="241"/>
      <c r="D19" s="242"/>
      <c r="E19" s="282"/>
      <c r="F19" s="283"/>
      <c r="G19" s="283"/>
      <c r="H19" s="283"/>
      <c r="I19" s="296"/>
      <c r="J19" s="310"/>
      <c r="K19" s="311"/>
      <c r="L19" s="311"/>
      <c r="M19" s="311"/>
      <c r="N19" s="311"/>
      <c r="O19" s="312"/>
      <c r="P19" s="310"/>
      <c r="Q19" s="311"/>
      <c r="R19" s="311"/>
      <c r="S19" s="311"/>
      <c r="T19" s="311"/>
      <c r="U19" s="312"/>
      <c r="V19" s="293"/>
      <c r="W19" s="290"/>
      <c r="X19" s="288"/>
      <c r="Y19" s="288"/>
      <c r="Z19" s="288"/>
      <c r="AA19" s="289"/>
      <c r="AB19" s="293"/>
      <c r="AC19" s="290"/>
      <c r="AD19" s="288"/>
      <c r="AE19" s="288"/>
      <c r="AF19" s="288"/>
      <c r="AG19" s="289"/>
      <c r="AH19" s="301"/>
      <c r="AI19" s="302"/>
      <c r="AJ19" s="302"/>
      <c r="AK19" s="302"/>
      <c r="AL19" s="302"/>
      <c r="AM19" s="303"/>
      <c r="AN19" s="70"/>
      <c r="AO19" s="255"/>
      <c r="AP19" s="256"/>
      <c r="AQ19" s="256"/>
      <c r="AR19" s="256"/>
      <c r="AS19" s="256"/>
      <c r="AT19" s="257"/>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41"/>
      <c r="C20" s="241"/>
      <c r="D20" s="242"/>
      <c r="E20" s="282"/>
      <c r="F20" s="283"/>
      <c r="G20" s="283"/>
      <c r="H20" s="283"/>
      <c r="I20" s="296"/>
      <c r="J20" s="310" t="str">
        <f>IF(AND('Mapa final'!$J$63="Alta",'Mapa final'!$N$63="Leve"),CONCATENATE("R",'Mapa final'!$A$63),"")</f>
        <v/>
      </c>
      <c r="K20" s="311"/>
      <c r="L20" s="311" t="str">
        <f>IF(AND('Mapa final'!$J$70="Alta",'Mapa final'!$N$70="Leve"),CONCATENATE("R",'Mapa final'!$A$70),"")</f>
        <v/>
      </c>
      <c r="M20" s="311"/>
      <c r="N20" s="311" t="str">
        <f>IF(AND('Mapa final'!$J$76="Alta",'Mapa final'!$N$76="Leve"),CONCATENATE("R",'Mapa final'!$A$76),"")</f>
        <v/>
      </c>
      <c r="O20" s="312"/>
      <c r="P20" s="310" t="str">
        <f>IF(AND('Mapa final'!$J$63="Alta",'Mapa final'!$N$63="Menor"),CONCATENATE("R",'Mapa final'!$A$63),"")</f>
        <v/>
      </c>
      <c r="Q20" s="311"/>
      <c r="R20" s="311" t="str">
        <f>IF(AND('Mapa final'!$J$70="Alta",'Mapa final'!$N$70="Menor"),CONCATENATE("R",'Mapa final'!$A$70),"")</f>
        <v/>
      </c>
      <c r="S20" s="311"/>
      <c r="T20" s="311" t="str">
        <f>IF(AND('Mapa final'!$J$76="Alta",'Mapa final'!$N$76="Menor"),CONCATENATE("R",'Mapa final'!$A$76),"")</f>
        <v/>
      </c>
      <c r="U20" s="312"/>
      <c r="V20" s="293" t="str">
        <f>IF(AND('Mapa final'!$J$63="Alta",'Mapa final'!$N$63="Moderado"),CONCATENATE("R",'Mapa final'!$A$63),"")</f>
        <v/>
      </c>
      <c r="W20" s="290"/>
      <c r="X20" s="288" t="str">
        <f>IF(AND('Mapa final'!$J$70="Alta",'Mapa final'!$N$70="Moderado"),CONCATENATE("R",'Mapa final'!$A$70),"")</f>
        <v/>
      </c>
      <c r="Y20" s="288"/>
      <c r="Z20" s="288" t="str">
        <f>IF(AND('Mapa final'!$J$76="Alta",'Mapa final'!$N$76="Moderado"),CONCATENATE("R",'Mapa final'!$A$76),"")</f>
        <v/>
      </c>
      <c r="AA20" s="289"/>
      <c r="AB20" s="293" t="str">
        <f>IF(AND('Mapa final'!$J$63="Alta",'Mapa final'!$N$63="Mayor"),CONCATENATE("R",'Mapa final'!$A$63),"")</f>
        <v/>
      </c>
      <c r="AC20" s="290"/>
      <c r="AD20" s="288" t="str">
        <f>IF(AND('Mapa final'!$J$70="Alta",'Mapa final'!$N$70="Mayor"),CONCATENATE("R",'Mapa final'!$A$70),"")</f>
        <v/>
      </c>
      <c r="AE20" s="288"/>
      <c r="AF20" s="288" t="str">
        <f>IF(AND('Mapa final'!$J$76="Alta",'Mapa final'!$N$76="Mayor"),CONCATENATE("R",'Mapa final'!$A$76),"")</f>
        <v/>
      </c>
      <c r="AG20" s="289"/>
      <c r="AH20" s="301" t="str">
        <f>IF(AND('Mapa final'!$J$63="Alta",'Mapa final'!$N$63="Catastrófico"),CONCATENATE("R",'Mapa final'!$A$63),"")</f>
        <v/>
      </c>
      <c r="AI20" s="302"/>
      <c r="AJ20" s="302" t="str">
        <f>IF(AND('Mapa final'!$J$70="Alta",'Mapa final'!$N$70="Catastrófico"),CONCATENATE("R",'Mapa final'!$A$70),"")</f>
        <v/>
      </c>
      <c r="AK20" s="302"/>
      <c r="AL20" s="302" t="str">
        <f>IF(AND('Mapa final'!$J$76="Alta",'Mapa final'!$N$76="Catastrófico"),CONCATENATE("R",'Mapa final'!$A$76),"")</f>
        <v/>
      </c>
      <c r="AM20" s="303"/>
      <c r="AN20" s="70"/>
      <c r="AO20" s="255"/>
      <c r="AP20" s="256"/>
      <c r="AQ20" s="256"/>
      <c r="AR20" s="256"/>
      <c r="AS20" s="256"/>
      <c r="AT20" s="257"/>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41"/>
      <c r="C21" s="241"/>
      <c r="D21" s="242"/>
      <c r="E21" s="285"/>
      <c r="F21" s="286"/>
      <c r="G21" s="286"/>
      <c r="H21" s="286"/>
      <c r="I21" s="286"/>
      <c r="J21" s="313"/>
      <c r="K21" s="314"/>
      <c r="L21" s="314"/>
      <c r="M21" s="314"/>
      <c r="N21" s="314"/>
      <c r="O21" s="315"/>
      <c r="P21" s="313"/>
      <c r="Q21" s="314"/>
      <c r="R21" s="314"/>
      <c r="S21" s="314"/>
      <c r="T21" s="314"/>
      <c r="U21" s="315"/>
      <c r="V21" s="298"/>
      <c r="W21" s="299"/>
      <c r="X21" s="299"/>
      <c r="Y21" s="299"/>
      <c r="Z21" s="299"/>
      <c r="AA21" s="300"/>
      <c r="AB21" s="298"/>
      <c r="AC21" s="299"/>
      <c r="AD21" s="299"/>
      <c r="AE21" s="299"/>
      <c r="AF21" s="299"/>
      <c r="AG21" s="300"/>
      <c r="AH21" s="304"/>
      <c r="AI21" s="305"/>
      <c r="AJ21" s="305"/>
      <c r="AK21" s="305"/>
      <c r="AL21" s="305"/>
      <c r="AM21" s="306"/>
      <c r="AN21" s="70"/>
      <c r="AO21" s="258"/>
      <c r="AP21" s="259"/>
      <c r="AQ21" s="259"/>
      <c r="AR21" s="259"/>
      <c r="AS21" s="259"/>
      <c r="AT21" s="26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241"/>
      <c r="C22" s="241"/>
      <c r="D22" s="242"/>
      <c r="E22" s="279" t="s">
        <v>113</v>
      </c>
      <c r="F22" s="280"/>
      <c r="G22" s="280"/>
      <c r="H22" s="280"/>
      <c r="I22" s="281"/>
      <c r="J22" s="316" t="str">
        <f>IF(AND('Mapa final'!$J$9="Media",'Mapa final'!$N$9="Leve"),CONCATENATE("R",'Mapa final'!$A$9),"")</f>
        <v>R1</v>
      </c>
      <c r="K22" s="317"/>
      <c r="L22" s="317" t="str">
        <f>IF(AND('Mapa final'!$J$15="Media",'Mapa final'!$N$15="Leve"),CONCATENATE("R",'Mapa final'!$A$15),"")</f>
        <v/>
      </c>
      <c r="M22" s="317"/>
      <c r="N22" s="317" t="str">
        <f>IF(AND('Mapa final'!$J$21="Media",'Mapa final'!$N$21="Leve"),CONCATENATE("R",'Mapa final'!$A$21),"")</f>
        <v/>
      </c>
      <c r="O22" s="318"/>
      <c r="P22" s="316" t="str">
        <f>IF(AND('Mapa final'!$J$9="Media",'Mapa final'!$N$9="Menor"),CONCATENATE("R",'Mapa final'!$A$9),"")</f>
        <v/>
      </c>
      <c r="Q22" s="317"/>
      <c r="R22" s="317" t="str">
        <f>IF(AND('Mapa final'!$J$15="Media",'Mapa final'!$N$15="Menor"),CONCATENATE("R",'Mapa final'!$A$15),"")</f>
        <v/>
      </c>
      <c r="S22" s="317"/>
      <c r="T22" s="317" t="str">
        <f>IF(AND('Mapa final'!$J$21="Media",'Mapa final'!$N$21="Menor"),CONCATENATE("R",'Mapa final'!$A$21),"")</f>
        <v/>
      </c>
      <c r="U22" s="318"/>
      <c r="V22" s="316" t="str">
        <f>IF(AND('Mapa final'!$J$9="Media",'Mapa final'!$N$9="Moderado"),CONCATENATE("R",'Mapa final'!$A$9),"")</f>
        <v/>
      </c>
      <c r="W22" s="317"/>
      <c r="X22" s="317" t="str">
        <f>IF(AND('Mapa final'!$J$15="Media",'Mapa final'!$N$15="Moderado"),CONCATENATE("R",'Mapa final'!$A$15),"")</f>
        <v/>
      </c>
      <c r="Y22" s="317"/>
      <c r="Z22" s="317" t="str">
        <f>IF(AND('Mapa final'!$J$21="Media",'Mapa final'!$N$21="Moderado"),CONCATENATE("R",'Mapa final'!$A$21),"")</f>
        <v>R3</v>
      </c>
      <c r="AA22" s="318"/>
      <c r="AB22" s="291" t="str">
        <f>IF(AND('Mapa final'!$J$9="Media",'Mapa final'!$N$9="Mayor"),CONCATENATE("R",'Mapa final'!$A$9),"")</f>
        <v/>
      </c>
      <c r="AC22" s="292"/>
      <c r="AD22" s="292" t="str">
        <f>IF(AND('Mapa final'!$J$15="Media",'Mapa final'!$N$15="Mayor"),CONCATENATE("R",'Mapa final'!$A$15),"")</f>
        <v/>
      </c>
      <c r="AE22" s="292"/>
      <c r="AF22" s="292" t="str">
        <f>IF(AND('Mapa final'!$J$21="Media",'Mapa final'!$N$21="Mayor"),CONCATENATE("R",'Mapa final'!$A$21),"")</f>
        <v/>
      </c>
      <c r="AG22" s="294"/>
      <c r="AH22" s="307" t="str">
        <f>IF(AND('Mapa final'!$J$9="Media",'Mapa final'!$N$9="Catastrófico"),CONCATENATE("R",'Mapa final'!$A$9),"")</f>
        <v/>
      </c>
      <c r="AI22" s="308"/>
      <c r="AJ22" s="308" t="str">
        <f>IF(AND('Mapa final'!$J$15="Media",'Mapa final'!$N$15="Catastrófico"),CONCATENATE("R",'Mapa final'!$A$15),"")</f>
        <v/>
      </c>
      <c r="AK22" s="308"/>
      <c r="AL22" s="308" t="str">
        <f>IF(AND('Mapa final'!$J$21="Media",'Mapa final'!$N$21="Catastrófico"),CONCATENATE("R",'Mapa final'!$A$21),"")</f>
        <v/>
      </c>
      <c r="AM22" s="309"/>
      <c r="AN22" s="70"/>
      <c r="AO22" s="261" t="s">
        <v>77</v>
      </c>
      <c r="AP22" s="262"/>
      <c r="AQ22" s="262"/>
      <c r="AR22" s="262"/>
      <c r="AS22" s="262"/>
      <c r="AT22" s="263"/>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241"/>
      <c r="C23" s="241"/>
      <c r="D23" s="242"/>
      <c r="E23" s="282"/>
      <c r="F23" s="283"/>
      <c r="G23" s="283"/>
      <c r="H23" s="283"/>
      <c r="I23" s="284"/>
      <c r="J23" s="310"/>
      <c r="K23" s="311"/>
      <c r="L23" s="311"/>
      <c r="M23" s="311"/>
      <c r="N23" s="311"/>
      <c r="O23" s="312"/>
      <c r="P23" s="310"/>
      <c r="Q23" s="311"/>
      <c r="R23" s="311"/>
      <c r="S23" s="311"/>
      <c r="T23" s="311"/>
      <c r="U23" s="312"/>
      <c r="V23" s="310"/>
      <c r="W23" s="311"/>
      <c r="X23" s="311"/>
      <c r="Y23" s="311"/>
      <c r="Z23" s="311"/>
      <c r="AA23" s="312"/>
      <c r="AB23" s="293"/>
      <c r="AC23" s="290"/>
      <c r="AD23" s="290"/>
      <c r="AE23" s="290"/>
      <c r="AF23" s="290"/>
      <c r="AG23" s="289"/>
      <c r="AH23" s="301"/>
      <c r="AI23" s="302"/>
      <c r="AJ23" s="302"/>
      <c r="AK23" s="302"/>
      <c r="AL23" s="302"/>
      <c r="AM23" s="303"/>
      <c r="AN23" s="70"/>
      <c r="AO23" s="264"/>
      <c r="AP23" s="265"/>
      <c r="AQ23" s="265"/>
      <c r="AR23" s="265"/>
      <c r="AS23" s="265"/>
      <c r="AT23" s="26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241"/>
      <c r="C24" s="241"/>
      <c r="D24" s="242"/>
      <c r="E24" s="282"/>
      <c r="F24" s="283"/>
      <c r="G24" s="283"/>
      <c r="H24" s="283"/>
      <c r="I24" s="284"/>
      <c r="J24" s="310" t="str">
        <f>IF(AND('Mapa final'!$J$27="Media",'Mapa final'!$N$27="Leve"),CONCATENATE("R",'Mapa final'!$A$27),"")</f>
        <v/>
      </c>
      <c r="K24" s="311"/>
      <c r="L24" s="311" t="str">
        <f>IF(AND('Mapa final'!$J$33="Media",'Mapa final'!$N$33="Leve"),CONCATENATE("R",'Mapa final'!$A$33),"")</f>
        <v>R5</v>
      </c>
      <c r="M24" s="311"/>
      <c r="N24" s="311" t="str">
        <f>IF(AND('Mapa final'!$J$39="Media",'Mapa final'!$N$39="Leve"),CONCATENATE("R",'Mapa final'!$A$39),"")</f>
        <v/>
      </c>
      <c r="O24" s="312"/>
      <c r="P24" s="310" t="str">
        <f>IF(AND('Mapa final'!$J$27="Media",'Mapa final'!$N$27="Menor"),CONCATENATE("R",'Mapa final'!$A$27),"")</f>
        <v/>
      </c>
      <c r="Q24" s="311"/>
      <c r="R24" s="311" t="str">
        <f>IF(AND('Mapa final'!$J$33="Media",'Mapa final'!$N$33="Menor"),CONCATENATE("R",'Mapa final'!$A$33),"")</f>
        <v/>
      </c>
      <c r="S24" s="311"/>
      <c r="T24" s="311" t="str">
        <f>IF(AND('Mapa final'!$J$39="Media",'Mapa final'!$N$39="Menor"),CONCATENATE("R",'Mapa final'!$A$39),"")</f>
        <v/>
      </c>
      <c r="U24" s="312"/>
      <c r="V24" s="310" t="str">
        <f>IF(AND('Mapa final'!$J$27="Media",'Mapa final'!$N$27="Moderado"),CONCATENATE("R",'Mapa final'!$A$27),"")</f>
        <v/>
      </c>
      <c r="W24" s="311"/>
      <c r="X24" s="311" t="str">
        <f>IF(AND('Mapa final'!$J$33="Media",'Mapa final'!$N$33="Moderado"),CONCATENATE("R",'Mapa final'!$A$33),"")</f>
        <v/>
      </c>
      <c r="Y24" s="311"/>
      <c r="Z24" s="311" t="str">
        <f>IF(AND('Mapa final'!$J$39="Media",'Mapa final'!$N$39="Moderado"),CONCATENATE("R",'Mapa final'!$A$39),"")</f>
        <v/>
      </c>
      <c r="AA24" s="312"/>
      <c r="AB24" s="293" t="str">
        <f>IF(AND('Mapa final'!$J$27="Media",'Mapa final'!$N$27="Mayor"),CONCATENATE("R",'Mapa final'!$A$27),"")</f>
        <v>R4</v>
      </c>
      <c r="AC24" s="290"/>
      <c r="AD24" s="288" t="str">
        <f>IF(AND('Mapa final'!$J$33="Media",'Mapa final'!$N$33="Mayor"),CONCATENATE("R",'Mapa final'!$A$33),"")</f>
        <v/>
      </c>
      <c r="AE24" s="288"/>
      <c r="AF24" s="288" t="str">
        <f>IF(AND('Mapa final'!$J$39="Media",'Mapa final'!$N$39="Mayor"),CONCATENATE("R",'Mapa final'!$A$39),"")</f>
        <v/>
      </c>
      <c r="AG24" s="289"/>
      <c r="AH24" s="301" t="str">
        <f>IF(AND('Mapa final'!$J$27="Media",'Mapa final'!$N$27="Catastrófico"),CONCATENATE("R",'Mapa final'!$A$27),"")</f>
        <v/>
      </c>
      <c r="AI24" s="302"/>
      <c r="AJ24" s="302" t="str">
        <f>IF(AND('Mapa final'!$J$33="Media",'Mapa final'!$N$33="Catastrófico"),CONCATENATE("R",'Mapa final'!$A$33),"")</f>
        <v/>
      </c>
      <c r="AK24" s="302"/>
      <c r="AL24" s="302" t="str">
        <f>IF(AND('Mapa final'!$J$39="Media",'Mapa final'!$N$39="Catastrófico"),CONCATENATE("R",'Mapa final'!$A$39),"")</f>
        <v/>
      </c>
      <c r="AM24" s="303"/>
      <c r="AN24" s="70"/>
      <c r="AO24" s="264"/>
      <c r="AP24" s="265"/>
      <c r="AQ24" s="265"/>
      <c r="AR24" s="265"/>
      <c r="AS24" s="265"/>
      <c r="AT24" s="26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241"/>
      <c r="C25" s="241"/>
      <c r="D25" s="242"/>
      <c r="E25" s="282"/>
      <c r="F25" s="283"/>
      <c r="G25" s="283"/>
      <c r="H25" s="283"/>
      <c r="I25" s="284"/>
      <c r="J25" s="310"/>
      <c r="K25" s="311"/>
      <c r="L25" s="311"/>
      <c r="M25" s="311"/>
      <c r="N25" s="311"/>
      <c r="O25" s="312"/>
      <c r="P25" s="310"/>
      <c r="Q25" s="311"/>
      <c r="R25" s="311"/>
      <c r="S25" s="311"/>
      <c r="T25" s="311"/>
      <c r="U25" s="312"/>
      <c r="V25" s="310"/>
      <c r="W25" s="311"/>
      <c r="X25" s="311"/>
      <c r="Y25" s="311"/>
      <c r="Z25" s="311"/>
      <c r="AA25" s="312"/>
      <c r="AB25" s="293"/>
      <c r="AC25" s="290"/>
      <c r="AD25" s="288"/>
      <c r="AE25" s="288"/>
      <c r="AF25" s="288"/>
      <c r="AG25" s="289"/>
      <c r="AH25" s="301"/>
      <c r="AI25" s="302"/>
      <c r="AJ25" s="302"/>
      <c r="AK25" s="302"/>
      <c r="AL25" s="302"/>
      <c r="AM25" s="303"/>
      <c r="AN25" s="70"/>
      <c r="AO25" s="264"/>
      <c r="AP25" s="265"/>
      <c r="AQ25" s="265"/>
      <c r="AR25" s="265"/>
      <c r="AS25" s="265"/>
      <c r="AT25" s="266"/>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241"/>
      <c r="C26" s="241"/>
      <c r="D26" s="242"/>
      <c r="E26" s="282"/>
      <c r="F26" s="283"/>
      <c r="G26" s="283"/>
      <c r="H26" s="283"/>
      <c r="I26" s="284"/>
      <c r="J26" s="310" t="str">
        <f>IF(AND('Mapa final'!$J$45="Media",'Mapa final'!$N$45="Leve"),CONCATENATE("R",'Mapa final'!$A$45),"")</f>
        <v/>
      </c>
      <c r="K26" s="311"/>
      <c r="L26" s="311" t="str">
        <f>IF(AND('Mapa final'!$J$51="Media",'Mapa final'!$N$51="Leve"),CONCATENATE("R",'Mapa final'!$A$51),"")</f>
        <v/>
      </c>
      <c r="M26" s="311"/>
      <c r="N26" s="311" t="str">
        <f>IF(AND('Mapa final'!$J$57="Media",'Mapa final'!$N$57="Leve"),CONCATENATE("R",'Mapa final'!$A$57),"")</f>
        <v/>
      </c>
      <c r="O26" s="312"/>
      <c r="P26" s="310" t="str">
        <f>IF(AND('Mapa final'!$J$45="Media",'Mapa final'!$N$45="Menor"),CONCATENATE("R",'Mapa final'!$A$45),"")</f>
        <v/>
      </c>
      <c r="Q26" s="311"/>
      <c r="R26" s="311" t="str">
        <f>IF(AND('Mapa final'!$J$51="Media",'Mapa final'!$N$51="Menor"),CONCATENATE("R",'Mapa final'!$A$51),"")</f>
        <v/>
      </c>
      <c r="S26" s="311"/>
      <c r="T26" s="311" t="str">
        <f>IF(AND('Mapa final'!$J$57="Media",'Mapa final'!$N$57="Menor"),CONCATENATE("R",'Mapa final'!$A$57),"")</f>
        <v/>
      </c>
      <c r="U26" s="312"/>
      <c r="V26" s="310" t="str">
        <f>IF(AND('Mapa final'!$J$45="Media",'Mapa final'!$N$45="Moderado"),CONCATENATE("R",'Mapa final'!$A$45),"")</f>
        <v/>
      </c>
      <c r="W26" s="311"/>
      <c r="X26" s="311" t="str">
        <f>IF(AND('Mapa final'!$J$51="Media",'Mapa final'!$N$51="Moderado"),CONCATENATE("R",'Mapa final'!$A$51),"")</f>
        <v/>
      </c>
      <c r="Y26" s="311"/>
      <c r="Z26" s="311" t="str">
        <f>IF(AND('Mapa final'!$J$57="Media",'Mapa final'!$N$57="Moderado"),CONCATENATE("R",'Mapa final'!$A$57),"")</f>
        <v/>
      </c>
      <c r="AA26" s="312"/>
      <c r="AB26" s="293" t="str">
        <f>IF(AND('Mapa final'!$J$45="Media",'Mapa final'!$N$45="Mayor"),CONCATENATE("R",'Mapa final'!$A$45),"")</f>
        <v/>
      </c>
      <c r="AC26" s="290"/>
      <c r="AD26" s="288" t="str">
        <f>IF(AND('Mapa final'!$J$51="Media",'Mapa final'!$N$51="Mayor"),CONCATENATE("R",'Mapa final'!$A$51),"")</f>
        <v/>
      </c>
      <c r="AE26" s="288"/>
      <c r="AF26" s="288" t="str">
        <f>IF(AND('Mapa final'!$J$57="Media",'Mapa final'!$N$57="Mayor"),CONCATENATE("R",'Mapa final'!$A$57),"")</f>
        <v/>
      </c>
      <c r="AG26" s="289"/>
      <c r="AH26" s="301" t="str">
        <f>IF(AND('Mapa final'!$J$45="Media",'Mapa final'!$N$45="Catastrófico"),CONCATENATE("R",'Mapa final'!$A$45),"")</f>
        <v/>
      </c>
      <c r="AI26" s="302"/>
      <c r="AJ26" s="302" t="str">
        <f>IF(AND('Mapa final'!$J$51="Media",'Mapa final'!$N$51="Catastrófico"),CONCATENATE("R",'Mapa final'!$A$51),"")</f>
        <v/>
      </c>
      <c r="AK26" s="302"/>
      <c r="AL26" s="302" t="str">
        <f>IF(AND('Mapa final'!$J$57="Media",'Mapa final'!$N$57="Catastrófico"),CONCATENATE("R",'Mapa final'!$A$57),"")</f>
        <v/>
      </c>
      <c r="AM26" s="303"/>
      <c r="AN26" s="70"/>
      <c r="AO26" s="264"/>
      <c r="AP26" s="265"/>
      <c r="AQ26" s="265"/>
      <c r="AR26" s="265"/>
      <c r="AS26" s="265"/>
      <c r="AT26" s="266"/>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241"/>
      <c r="C27" s="241"/>
      <c r="D27" s="242"/>
      <c r="E27" s="282"/>
      <c r="F27" s="283"/>
      <c r="G27" s="283"/>
      <c r="H27" s="283"/>
      <c r="I27" s="284"/>
      <c r="J27" s="310"/>
      <c r="K27" s="311"/>
      <c r="L27" s="311"/>
      <c r="M27" s="311"/>
      <c r="N27" s="311"/>
      <c r="O27" s="312"/>
      <c r="P27" s="310"/>
      <c r="Q27" s="311"/>
      <c r="R27" s="311"/>
      <c r="S27" s="311"/>
      <c r="T27" s="311"/>
      <c r="U27" s="312"/>
      <c r="V27" s="310"/>
      <c r="W27" s="311"/>
      <c r="X27" s="311"/>
      <c r="Y27" s="311"/>
      <c r="Z27" s="311"/>
      <c r="AA27" s="312"/>
      <c r="AB27" s="293"/>
      <c r="AC27" s="290"/>
      <c r="AD27" s="288"/>
      <c r="AE27" s="288"/>
      <c r="AF27" s="288"/>
      <c r="AG27" s="289"/>
      <c r="AH27" s="301"/>
      <c r="AI27" s="302"/>
      <c r="AJ27" s="302"/>
      <c r="AK27" s="302"/>
      <c r="AL27" s="302"/>
      <c r="AM27" s="303"/>
      <c r="AN27" s="70"/>
      <c r="AO27" s="264"/>
      <c r="AP27" s="265"/>
      <c r="AQ27" s="265"/>
      <c r="AR27" s="265"/>
      <c r="AS27" s="265"/>
      <c r="AT27" s="26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241"/>
      <c r="C28" s="241"/>
      <c r="D28" s="242"/>
      <c r="E28" s="282"/>
      <c r="F28" s="283"/>
      <c r="G28" s="283"/>
      <c r="H28" s="283"/>
      <c r="I28" s="284"/>
      <c r="J28" s="310" t="str">
        <f>IF(AND('Mapa final'!$J$63="Media",'Mapa final'!$N$63="Leve"),CONCATENATE("R",'Mapa final'!$A$63),"")</f>
        <v/>
      </c>
      <c r="K28" s="311"/>
      <c r="L28" s="311" t="str">
        <f>IF(AND('Mapa final'!$J$70="Media",'Mapa final'!$N$70="Leve"),CONCATENATE("R",'Mapa final'!$A$70),"")</f>
        <v/>
      </c>
      <c r="M28" s="311"/>
      <c r="N28" s="311" t="str">
        <f>IF(AND('Mapa final'!$J$76="Media",'Mapa final'!$N$76="Leve"),CONCATENATE("R",'Mapa final'!$A$76),"")</f>
        <v/>
      </c>
      <c r="O28" s="312"/>
      <c r="P28" s="310" t="str">
        <f>IF(AND('Mapa final'!$J$63="Media",'Mapa final'!$N$63="Menor"),CONCATENATE("R",'Mapa final'!$A$63),"")</f>
        <v/>
      </c>
      <c r="Q28" s="311"/>
      <c r="R28" s="311" t="str">
        <f>IF(AND('Mapa final'!$J$70="Media",'Mapa final'!$N$70="Menor"),CONCATENATE("R",'Mapa final'!$A$70),"")</f>
        <v/>
      </c>
      <c r="S28" s="311"/>
      <c r="T28" s="311" t="str">
        <f>IF(AND('Mapa final'!$J$76="Media",'Mapa final'!$N$76="Menor"),CONCATENATE("R",'Mapa final'!$A$76),"")</f>
        <v/>
      </c>
      <c r="U28" s="312"/>
      <c r="V28" s="310" t="str">
        <f>IF(AND('Mapa final'!$J$63="Media",'Mapa final'!$N$63="Moderado"),CONCATENATE("R",'Mapa final'!$A$63),"")</f>
        <v/>
      </c>
      <c r="W28" s="311"/>
      <c r="X28" s="311" t="str">
        <f>IF(AND('Mapa final'!$J$70="Media",'Mapa final'!$N$70="Moderado"),CONCATENATE("R",'Mapa final'!$A$70),"")</f>
        <v/>
      </c>
      <c r="Y28" s="311"/>
      <c r="Z28" s="311" t="str">
        <f>IF(AND('Mapa final'!$J$76="Media",'Mapa final'!$N$76="Moderado"),CONCATENATE("R",'Mapa final'!$A$76),"")</f>
        <v/>
      </c>
      <c r="AA28" s="312"/>
      <c r="AB28" s="293" t="str">
        <f>IF(AND('Mapa final'!$J$63="Media",'Mapa final'!$N$63="Mayor"),CONCATENATE("R",'Mapa final'!$A$63),"")</f>
        <v/>
      </c>
      <c r="AC28" s="290"/>
      <c r="AD28" s="288" t="str">
        <f>IF(AND('Mapa final'!$J$70="Media",'Mapa final'!$N$70="Mayor"),CONCATENATE("R",'Mapa final'!$A$70),"")</f>
        <v/>
      </c>
      <c r="AE28" s="288"/>
      <c r="AF28" s="288" t="str">
        <f>IF(AND('Mapa final'!$J$76="Media",'Mapa final'!$N$76="Mayor"),CONCATENATE("R",'Mapa final'!$A$76),"")</f>
        <v/>
      </c>
      <c r="AG28" s="289"/>
      <c r="AH28" s="301" t="str">
        <f>IF(AND('Mapa final'!$J$63="Media",'Mapa final'!$N$63="Catastrófico"),CONCATENATE("R",'Mapa final'!$A$63),"")</f>
        <v/>
      </c>
      <c r="AI28" s="302"/>
      <c r="AJ28" s="302" t="str">
        <f>IF(AND('Mapa final'!$J$70="Media",'Mapa final'!$N$70="Catastrófico"),CONCATENATE("R",'Mapa final'!$A$70),"")</f>
        <v/>
      </c>
      <c r="AK28" s="302"/>
      <c r="AL28" s="302" t="str">
        <f>IF(AND('Mapa final'!$J$76="Media",'Mapa final'!$N$76="Catastrófico"),CONCATENATE("R",'Mapa final'!$A$76),"")</f>
        <v/>
      </c>
      <c r="AM28" s="303"/>
      <c r="AN28" s="70"/>
      <c r="AO28" s="264"/>
      <c r="AP28" s="265"/>
      <c r="AQ28" s="265"/>
      <c r="AR28" s="265"/>
      <c r="AS28" s="265"/>
      <c r="AT28" s="26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241"/>
      <c r="C29" s="241"/>
      <c r="D29" s="242"/>
      <c r="E29" s="285"/>
      <c r="F29" s="286"/>
      <c r="G29" s="286"/>
      <c r="H29" s="286"/>
      <c r="I29" s="287"/>
      <c r="J29" s="310"/>
      <c r="K29" s="311"/>
      <c r="L29" s="311"/>
      <c r="M29" s="311"/>
      <c r="N29" s="311"/>
      <c r="O29" s="312"/>
      <c r="P29" s="313"/>
      <c r="Q29" s="314"/>
      <c r="R29" s="314"/>
      <c r="S29" s="314"/>
      <c r="T29" s="314"/>
      <c r="U29" s="315"/>
      <c r="V29" s="313"/>
      <c r="W29" s="314"/>
      <c r="X29" s="314"/>
      <c r="Y29" s="314"/>
      <c r="Z29" s="314"/>
      <c r="AA29" s="315"/>
      <c r="AB29" s="298"/>
      <c r="AC29" s="299"/>
      <c r="AD29" s="299"/>
      <c r="AE29" s="299"/>
      <c r="AF29" s="299"/>
      <c r="AG29" s="300"/>
      <c r="AH29" s="304"/>
      <c r="AI29" s="305"/>
      <c r="AJ29" s="305"/>
      <c r="AK29" s="305"/>
      <c r="AL29" s="305"/>
      <c r="AM29" s="306"/>
      <c r="AN29" s="70"/>
      <c r="AO29" s="267"/>
      <c r="AP29" s="268"/>
      <c r="AQ29" s="268"/>
      <c r="AR29" s="268"/>
      <c r="AS29" s="268"/>
      <c r="AT29" s="269"/>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241"/>
      <c r="C30" s="241"/>
      <c r="D30" s="242"/>
      <c r="E30" s="279" t="s">
        <v>110</v>
      </c>
      <c r="F30" s="280"/>
      <c r="G30" s="280"/>
      <c r="H30" s="280"/>
      <c r="I30" s="280"/>
      <c r="J30" s="325" t="str">
        <f>IF(AND('Mapa final'!$J$9="Baja",'Mapa final'!$N$9="Leve"),CONCATENATE("R",'Mapa final'!$A$9),"")</f>
        <v/>
      </c>
      <c r="K30" s="326"/>
      <c r="L30" s="326" t="str">
        <f>IF(AND('Mapa final'!$J$15="Baja",'Mapa final'!$N$15="Leve"),CONCATENATE("R",'Mapa final'!$A$15),"")</f>
        <v/>
      </c>
      <c r="M30" s="326"/>
      <c r="N30" s="326" t="str">
        <f>IF(AND('Mapa final'!$J$21="Baja",'Mapa final'!$N$21="Leve"),CONCATENATE("R",'Mapa final'!$A$21),"")</f>
        <v/>
      </c>
      <c r="O30" s="327"/>
      <c r="P30" s="317" t="str">
        <f>IF(AND('Mapa final'!$J$9="Baja",'Mapa final'!$N$9="Menor"),CONCATENATE("R",'Mapa final'!$A$9),"")</f>
        <v/>
      </c>
      <c r="Q30" s="317"/>
      <c r="R30" s="317" t="str">
        <f>IF(AND('Mapa final'!$J$15="Baja",'Mapa final'!$N$15="Menor"),CONCATENATE("R",'Mapa final'!$A$15),"")</f>
        <v/>
      </c>
      <c r="S30" s="317"/>
      <c r="T30" s="317" t="str">
        <f>IF(AND('Mapa final'!$J$21="Baja",'Mapa final'!$N$21="Menor"),CONCATENATE("R",'Mapa final'!$A$21),"")</f>
        <v/>
      </c>
      <c r="U30" s="318"/>
      <c r="V30" s="316" t="str">
        <f>IF(AND('Mapa final'!$J$9="Baja",'Mapa final'!$N$9="Moderado"),CONCATENATE("R",'Mapa final'!$A$9),"")</f>
        <v/>
      </c>
      <c r="W30" s="317"/>
      <c r="X30" s="317" t="str">
        <f>IF(AND('Mapa final'!$J$15="Baja",'Mapa final'!$N$15="Moderado"),CONCATENATE("R",'Mapa final'!$A$15),"")</f>
        <v/>
      </c>
      <c r="Y30" s="317"/>
      <c r="Z30" s="317" t="str">
        <f>IF(AND('Mapa final'!$J$21="Baja",'Mapa final'!$N$21="Moderado"),CONCATENATE("R",'Mapa final'!$A$21),"")</f>
        <v/>
      </c>
      <c r="AA30" s="318"/>
      <c r="AB30" s="291" t="str">
        <f>IF(AND('Mapa final'!$J$9="Baja",'Mapa final'!$N$9="Mayor"),CONCATENATE("R",'Mapa final'!$A$9),"")</f>
        <v/>
      </c>
      <c r="AC30" s="292"/>
      <c r="AD30" s="292" t="str">
        <f>IF(AND('Mapa final'!$J$15="Baja",'Mapa final'!$N$15="Mayor"),CONCATENATE("R",'Mapa final'!$A$15),"")</f>
        <v>R2</v>
      </c>
      <c r="AE30" s="292"/>
      <c r="AF30" s="292" t="str">
        <f>IF(AND('Mapa final'!$J$21="Baja",'Mapa final'!$N$21="Mayor"),CONCATENATE("R",'Mapa final'!$A$21),"")</f>
        <v/>
      </c>
      <c r="AG30" s="294"/>
      <c r="AH30" s="307" t="str">
        <f>IF(AND('Mapa final'!$J$9="Baja",'Mapa final'!$N$9="Catastrófico"),CONCATENATE("R",'Mapa final'!$A$9),"")</f>
        <v/>
      </c>
      <c r="AI30" s="308"/>
      <c r="AJ30" s="308" t="str">
        <f>IF(AND('Mapa final'!$J$15="Baja",'Mapa final'!$N$15="Catastrófico"),CONCATENATE("R",'Mapa final'!$A$15),"")</f>
        <v/>
      </c>
      <c r="AK30" s="308"/>
      <c r="AL30" s="308" t="str">
        <f>IF(AND('Mapa final'!$J$21="Baja",'Mapa final'!$N$21="Catastrófico"),CONCATENATE("R",'Mapa final'!$A$21),"")</f>
        <v/>
      </c>
      <c r="AM30" s="309"/>
      <c r="AN30" s="70"/>
      <c r="AO30" s="270" t="s">
        <v>78</v>
      </c>
      <c r="AP30" s="271"/>
      <c r="AQ30" s="271"/>
      <c r="AR30" s="271"/>
      <c r="AS30" s="271"/>
      <c r="AT30" s="272"/>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241"/>
      <c r="C31" s="241"/>
      <c r="D31" s="242"/>
      <c r="E31" s="282"/>
      <c r="F31" s="283"/>
      <c r="G31" s="283"/>
      <c r="H31" s="283"/>
      <c r="I31" s="296"/>
      <c r="J31" s="321"/>
      <c r="K31" s="319"/>
      <c r="L31" s="319"/>
      <c r="M31" s="319"/>
      <c r="N31" s="319"/>
      <c r="O31" s="320"/>
      <c r="P31" s="311"/>
      <c r="Q31" s="311"/>
      <c r="R31" s="311"/>
      <c r="S31" s="311"/>
      <c r="T31" s="311"/>
      <c r="U31" s="312"/>
      <c r="V31" s="310"/>
      <c r="W31" s="311"/>
      <c r="X31" s="311"/>
      <c r="Y31" s="311"/>
      <c r="Z31" s="311"/>
      <c r="AA31" s="312"/>
      <c r="AB31" s="293"/>
      <c r="AC31" s="290"/>
      <c r="AD31" s="290"/>
      <c r="AE31" s="290"/>
      <c r="AF31" s="290"/>
      <c r="AG31" s="289"/>
      <c r="AH31" s="301"/>
      <c r="AI31" s="302"/>
      <c r="AJ31" s="302"/>
      <c r="AK31" s="302"/>
      <c r="AL31" s="302"/>
      <c r="AM31" s="303"/>
      <c r="AN31" s="70"/>
      <c r="AO31" s="273"/>
      <c r="AP31" s="274"/>
      <c r="AQ31" s="274"/>
      <c r="AR31" s="274"/>
      <c r="AS31" s="274"/>
      <c r="AT31" s="27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241"/>
      <c r="C32" s="241"/>
      <c r="D32" s="242"/>
      <c r="E32" s="282"/>
      <c r="F32" s="283"/>
      <c r="G32" s="283"/>
      <c r="H32" s="283"/>
      <c r="I32" s="296"/>
      <c r="J32" s="321" t="str">
        <f>IF(AND('Mapa final'!$J$27="Baja",'Mapa final'!$N$27="Leve"),CONCATENATE("R",'Mapa final'!$A$27),"")</f>
        <v/>
      </c>
      <c r="K32" s="319"/>
      <c r="L32" s="319" t="str">
        <f>IF(AND('Mapa final'!$J$33="Baja",'Mapa final'!$N$33="Leve"),CONCATENATE("R",'Mapa final'!$A$33),"")</f>
        <v/>
      </c>
      <c r="M32" s="319"/>
      <c r="N32" s="319" t="str">
        <f>IF(AND('Mapa final'!$J$39="Baja",'Mapa final'!$N$39="Leve"),CONCATENATE("R",'Mapa final'!$A$39),"")</f>
        <v/>
      </c>
      <c r="O32" s="320"/>
      <c r="P32" s="311" t="str">
        <f>IF(AND('Mapa final'!$J$27="Baja",'Mapa final'!$N$27="Menor"),CONCATENATE("R",'Mapa final'!$A$27),"")</f>
        <v/>
      </c>
      <c r="Q32" s="311"/>
      <c r="R32" s="311" t="str">
        <f>IF(AND('Mapa final'!$J$33="Baja",'Mapa final'!$N$33="Menor"),CONCATENATE("R",'Mapa final'!$A$33),"")</f>
        <v/>
      </c>
      <c r="S32" s="311"/>
      <c r="T32" s="311" t="str">
        <f>IF(AND('Mapa final'!$J$39="Baja",'Mapa final'!$N$39="Menor"),CONCATENATE("R",'Mapa final'!$A$39),"")</f>
        <v/>
      </c>
      <c r="U32" s="312"/>
      <c r="V32" s="310" t="str">
        <f>IF(AND('Mapa final'!$J$27="Baja",'Mapa final'!$N$27="Moderado"),CONCATENATE("R",'Mapa final'!$A$27),"")</f>
        <v/>
      </c>
      <c r="W32" s="311"/>
      <c r="X32" s="311" t="str">
        <f>IF(AND('Mapa final'!$J$33="Baja",'Mapa final'!$N$33="Moderado"),CONCATENATE("R",'Mapa final'!$A$33),"")</f>
        <v/>
      </c>
      <c r="Y32" s="311"/>
      <c r="Z32" s="311" t="str">
        <f>IF(AND('Mapa final'!$J$39="Baja",'Mapa final'!$N$39="Moderado"),CONCATENATE("R",'Mapa final'!$A$39),"")</f>
        <v/>
      </c>
      <c r="AA32" s="312"/>
      <c r="AB32" s="293" t="str">
        <f>IF(AND('Mapa final'!$J$27="Baja",'Mapa final'!$N$27="Mayor"),CONCATENATE("R",'Mapa final'!$A$27),"")</f>
        <v/>
      </c>
      <c r="AC32" s="290"/>
      <c r="AD32" s="288" t="str">
        <f>IF(AND('Mapa final'!$J$33="Baja",'Mapa final'!$N$33="Mayor"),CONCATENATE("R",'Mapa final'!$A$33),"")</f>
        <v/>
      </c>
      <c r="AE32" s="288"/>
      <c r="AF32" s="288" t="str">
        <f>IF(AND('Mapa final'!$J$39="Baja",'Mapa final'!$N$39="Mayor"),CONCATENATE("R",'Mapa final'!$A$39),"")</f>
        <v/>
      </c>
      <c r="AG32" s="289"/>
      <c r="AH32" s="301" t="str">
        <f>IF(AND('Mapa final'!$J$27="Baja",'Mapa final'!$N$27="Catastrófico"),CONCATENATE("R",'Mapa final'!$A$27),"")</f>
        <v/>
      </c>
      <c r="AI32" s="302"/>
      <c r="AJ32" s="302" t="str">
        <f>IF(AND('Mapa final'!$J$33="Baja",'Mapa final'!$N$33="Catastrófico"),CONCATENATE("R",'Mapa final'!$A$33),"")</f>
        <v/>
      </c>
      <c r="AK32" s="302"/>
      <c r="AL32" s="302" t="str">
        <f>IF(AND('Mapa final'!$J$39="Baja",'Mapa final'!$N$39="Catastrófico"),CONCATENATE("R",'Mapa final'!$A$39),"")</f>
        <v/>
      </c>
      <c r="AM32" s="303"/>
      <c r="AN32" s="70"/>
      <c r="AO32" s="273"/>
      <c r="AP32" s="274"/>
      <c r="AQ32" s="274"/>
      <c r="AR32" s="274"/>
      <c r="AS32" s="274"/>
      <c r="AT32" s="27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241"/>
      <c r="C33" s="241"/>
      <c r="D33" s="242"/>
      <c r="E33" s="282"/>
      <c r="F33" s="283"/>
      <c r="G33" s="283"/>
      <c r="H33" s="283"/>
      <c r="I33" s="296"/>
      <c r="J33" s="321"/>
      <c r="K33" s="319"/>
      <c r="L33" s="319"/>
      <c r="M33" s="319"/>
      <c r="N33" s="319"/>
      <c r="O33" s="320"/>
      <c r="P33" s="311"/>
      <c r="Q33" s="311"/>
      <c r="R33" s="311"/>
      <c r="S33" s="311"/>
      <c r="T33" s="311"/>
      <c r="U33" s="312"/>
      <c r="V33" s="310"/>
      <c r="W33" s="311"/>
      <c r="X33" s="311"/>
      <c r="Y33" s="311"/>
      <c r="Z33" s="311"/>
      <c r="AA33" s="312"/>
      <c r="AB33" s="293"/>
      <c r="AC33" s="290"/>
      <c r="AD33" s="288"/>
      <c r="AE33" s="288"/>
      <c r="AF33" s="288"/>
      <c r="AG33" s="289"/>
      <c r="AH33" s="301"/>
      <c r="AI33" s="302"/>
      <c r="AJ33" s="302"/>
      <c r="AK33" s="302"/>
      <c r="AL33" s="302"/>
      <c r="AM33" s="303"/>
      <c r="AN33" s="70"/>
      <c r="AO33" s="273"/>
      <c r="AP33" s="274"/>
      <c r="AQ33" s="274"/>
      <c r="AR33" s="274"/>
      <c r="AS33" s="274"/>
      <c r="AT33" s="27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241"/>
      <c r="C34" s="241"/>
      <c r="D34" s="242"/>
      <c r="E34" s="282"/>
      <c r="F34" s="283"/>
      <c r="G34" s="283"/>
      <c r="H34" s="283"/>
      <c r="I34" s="296"/>
      <c r="J34" s="321" t="str">
        <f>IF(AND('Mapa final'!$J$45="Baja",'Mapa final'!$N$45="Leve"),CONCATENATE("R",'Mapa final'!$A$45),"")</f>
        <v/>
      </c>
      <c r="K34" s="319"/>
      <c r="L34" s="319" t="str">
        <f>IF(AND('Mapa final'!$J$51="Baja",'Mapa final'!$N$51="Leve"),CONCATENATE("R",'Mapa final'!$A$51),"")</f>
        <v/>
      </c>
      <c r="M34" s="319"/>
      <c r="N34" s="319" t="str">
        <f>IF(AND('Mapa final'!$J$57="Baja",'Mapa final'!$N$57="Leve"),CONCATENATE("R",'Mapa final'!$A$57),"")</f>
        <v/>
      </c>
      <c r="O34" s="320"/>
      <c r="P34" s="311" t="str">
        <f>IF(AND('Mapa final'!$J$45="Baja",'Mapa final'!$N$45="Menor"),CONCATENATE("R",'Mapa final'!$A$45),"")</f>
        <v/>
      </c>
      <c r="Q34" s="311"/>
      <c r="R34" s="311" t="str">
        <f>IF(AND('Mapa final'!$J$51="Baja",'Mapa final'!$N$51="Menor"),CONCATENATE("R",'Mapa final'!$A$51),"")</f>
        <v/>
      </c>
      <c r="S34" s="311"/>
      <c r="T34" s="311" t="str">
        <f>IF(AND('Mapa final'!$J$57="Baja",'Mapa final'!$N$57="Menor"),CONCATENATE("R",'Mapa final'!$A$57),"")</f>
        <v/>
      </c>
      <c r="U34" s="312"/>
      <c r="V34" s="310" t="str">
        <f>IF(AND('Mapa final'!$J$45="Baja",'Mapa final'!$N$45="Moderado"),CONCATENATE("R",'Mapa final'!$A$45),"")</f>
        <v/>
      </c>
      <c r="W34" s="311"/>
      <c r="X34" s="311" t="str">
        <f>IF(AND('Mapa final'!$J$51="Baja",'Mapa final'!$N$51="Moderado"),CONCATENATE("R",'Mapa final'!$A$51),"")</f>
        <v/>
      </c>
      <c r="Y34" s="311"/>
      <c r="Z34" s="311" t="str">
        <f>IF(AND('Mapa final'!$J$57="Baja",'Mapa final'!$N$57="Moderado"),CONCATENATE("R",'Mapa final'!$A$57),"")</f>
        <v/>
      </c>
      <c r="AA34" s="312"/>
      <c r="AB34" s="293" t="str">
        <f>IF(AND('Mapa final'!$J$45="Baja",'Mapa final'!$N$45="Mayor"),CONCATENATE("R",'Mapa final'!$A$45),"")</f>
        <v/>
      </c>
      <c r="AC34" s="290"/>
      <c r="AD34" s="288" t="str">
        <f>IF(AND('Mapa final'!$J$51="Baja",'Mapa final'!$N$51="Mayor"),CONCATENATE("R",'Mapa final'!$A$51),"")</f>
        <v/>
      </c>
      <c r="AE34" s="288"/>
      <c r="AF34" s="288" t="str">
        <f>IF(AND('Mapa final'!$J$57="Baja",'Mapa final'!$N$57="Mayor"),CONCATENATE("R",'Mapa final'!$A$57),"")</f>
        <v/>
      </c>
      <c r="AG34" s="289"/>
      <c r="AH34" s="301" t="str">
        <f>IF(AND('Mapa final'!$J$45="Baja",'Mapa final'!$N$45="Catastrófico"),CONCATENATE("R",'Mapa final'!$A$45),"")</f>
        <v/>
      </c>
      <c r="AI34" s="302"/>
      <c r="AJ34" s="302" t="str">
        <f>IF(AND('Mapa final'!$J$51="Baja",'Mapa final'!$N$51="Catastrófico"),CONCATENATE("R",'Mapa final'!$A$51),"")</f>
        <v/>
      </c>
      <c r="AK34" s="302"/>
      <c r="AL34" s="302" t="str">
        <f>IF(AND('Mapa final'!$J$57="Baja",'Mapa final'!$N$57="Catastrófico"),CONCATENATE("R",'Mapa final'!$A$57),"")</f>
        <v/>
      </c>
      <c r="AM34" s="303"/>
      <c r="AN34" s="70"/>
      <c r="AO34" s="273"/>
      <c r="AP34" s="274"/>
      <c r="AQ34" s="274"/>
      <c r="AR34" s="274"/>
      <c r="AS34" s="274"/>
      <c r="AT34" s="27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241"/>
      <c r="C35" s="241"/>
      <c r="D35" s="242"/>
      <c r="E35" s="282"/>
      <c r="F35" s="283"/>
      <c r="G35" s="283"/>
      <c r="H35" s="283"/>
      <c r="I35" s="296"/>
      <c r="J35" s="321"/>
      <c r="K35" s="319"/>
      <c r="L35" s="319"/>
      <c r="M35" s="319"/>
      <c r="N35" s="319"/>
      <c r="O35" s="320"/>
      <c r="P35" s="311"/>
      <c r="Q35" s="311"/>
      <c r="R35" s="311"/>
      <c r="S35" s="311"/>
      <c r="T35" s="311"/>
      <c r="U35" s="312"/>
      <c r="V35" s="310"/>
      <c r="W35" s="311"/>
      <c r="X35" s="311"/>
      <c r="Y35" s="311"/>
      <c r="Z35" s="311"/>
      <c r="AA35" s="312"/>
      <c r="AB35" s="293"/>
      <c r="AC35" s="290"/>
      <c r="AD35" s="288"/>
      <c r="AE35" s="288"/>
      <c r="AF35" s="288"/>
      <c r="AG35" s="289"/>
      <c r="AH35" s="301"/>
      <c r="AI35" s="302"/>
      <c r="AJ35" s="302"/>
      <c r="AK35" s="302"/>
      <c r="AL35" s="302"/>
      <c r="AM35" s="303"/>
      <c r="AN35" s="70"/>
      <c r="AO35" s="273"/>
      <c r="AP35" s="274"/>
      <c r="AQ35" s="274"/>
      <c r="AR35" s="274"/>
      <c r="AS35" s="274"/>
      <c r="AT35" s="275"/>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241"/>
      <c r="C36" s="241"/>
      <c r="D36" s="242"/>
      <c r="E36" s="282"/>
      <c r="F36" s="283"/>
      <c r="G36" s="283"/>
      <c r="H36" s="283"/>
      <c r="I36" s="296"/>
      <c r="J36" s="321" t="str">
        <f>IF(AND('Mapa final'!$J$63="Baja",'Mapa final'!$N$63="Leve"),CONCATENATE("R",'Mapa final'!$A$63),"")</f>
        <v/>
      </c>
      <c r="K36" s="319"/>
      <c r="L36" s="319" t="str">
        <f>IF(AND('Mapa final'!$J$70="Baja",'Mapa final'!$N$70="Leve"),CONCATENATE("R",'Mapa final'!$A$70),"")</f>
        <v/>
      </c>
      <c r="M36" s="319"/>
      <c r="N36" s="319" t="str">
        <f>IF(AND('Mapa final'!$J$76="Baja",'Mapa final'!$N$76="Leve"),CONCATENATE("R",'Mapa final'!$A$76),"")</f>
        <v/>
      </c>
      <c r="O36" s="320"/>
      <c r="P36" s="311" t="str">
        <f>IF(AND('Mapa final'!$J$63="Baja",'Mapa final'!$N$63="Menor"),CONCATENATE("R",'Mapa final'!$A$63),"")</f>
        <v/>
      </c>
      <c r="Q36" s="311"/>
      <c r="R36" s="311" t="str">
        <f>IF(AND('Mapa final'!$J$70="Baja",'Mapa final'!$N$70="Menor"),CONCATENATE("R",'Mapa final'!$A$70),"")</f>
        <v/>
      </c>
      <c r="S36" s="311"/>
      <c r="T36" s="311" t="str">
        <f>IF(AND('Mapa final'!$J$76="Baja",'Mapa final'!$N$76="Menor"),CONCATENATE("R",'Mapa final'!$A$76),"")</f>
        <v/>
      </c>
      <c r="U36" s="312"/>
      <c r="V36" s="310" t="str">
        <f>IF(AND('Mapa final'!$J$63="Baja",'Mapa final'!$N$63="Moderado"),CONCATENATE("R",'Mapa final'!$A$63),"")</f>
        <v/>
      </c>
      <c r="W36" s="311"/>
      <c r="X36" s="311" t="str">
        <f>IF(AND('Mapa final'!$J$70="Baja",'Mapa final'!$N$70="Moderado"),CONCATENATE("R",'Mapa final'!$A$70),"")</f>
        <v/>
      </c>
      <c r="Y36" s="311"/>
      <c r="Z36" s="311" t="str">
        <f>IF(AND('Mapa final'!$J$76="Baja",'Mapa final'!$N$76="Moderado"),CONCATENATE("R",'Mapa final'!$A$76),"")</f>
        <v/>
      </c>
      <c r="AA36" s="312"/>
      <c r="AB36" s="293" t="str">
        <f>IF(AND('Mapa final'!$J$63="Baja",'Mapa final'!$N$63="Mayor"),CONCATENATE("R",'Mapa final'!$A$63),"")</f>
        <v/>
      </c>
      <c r="AC36" s="290"/>
      <c r="AD36" s="288" t="str">
        <f>IF(AND('Mapa final'!$J$70="Baja",'Mapa final'!$N$70="Mayor"),CONCATENATE("R",'Mapa final'!$A$70),"")</f>
        <v/>
      </c>
      <c r="AE36" s="288"/>
      <c r="AF36" s="288" t="str">
        <f>IF(AND('Mapa final'!$J$76="Baja",'Mapa final'!$N$76="Mayor"),CONCATENATE("R",'Mapa final'!$A$76),"")</f>
        <v/>
      </c>
      <c r="AG36" s="289"/>
      <c r="AH36" s="301" t="str">
        <f>IF(AND('Mapa final'!$J$63="Baja",'Mapa final'!$N$63="Catastrófico"),CONCATENATE("R",'Mapa final'!$A$63),"")</f>
        <v/>
      </c>
      <c r="AI36" s="302"/>
      <c r="AJ36" s="302" t="str">
        <f>IF(AND('Mapa final'!$J$70="Baja",'Mapa final'!$N$70="Catastrófico"),CONCATENATE("R",'Mapa final'!$A$70),"")</f>
        <v/>
      </c>
      <c r="AK36" s="302"/>
      <c r="AL36" s="302" t="str">
        <f>IF(AND('Mapa final'!$J$76="Baja",'Mapa final'!$N$76="Catastrófico"),CONCATENATE("R",'Mapa final'!$A$76),"")</f>
        <v/>
      </c>
      <c r="AM36" s="303"/>
      <c r="AN36" s="70"/>
      <c r="AO36" s="273"/>
      <c r="AP36" s="274"/>
      <c r="AQ36" s="274"/>
      <c r="AR36" s="274"/>
      <c r="AS36" s="274"/>
      <c r="AT36" s="275"/>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241"/>
      <c r="C37" s="241"/>
      <c r="D37" s="242"/>
      <c r="E37" s="285"/>
      <c r="F37" s="286"/>
      <c r="G37" s="286"/>
      <c r="H37" s="286"/>
      <c r="I37" s="286"/>
      <c r="J37" s="322"/>
      <c r="K37" s="323"/>
      <c r="L37" s="323"/>
      <c r="M37" s="323"/>
      <c r="N37" s="323"/>
      <c r="O37" s="324"/>
      <c r="P37" s="314"/>
      <c r="Q37" s="314"/>
      <c r="R37" s="314"/>
      <c r="S37" s="314"/>
      <c r="T37" s="314"/>
      <c r="U37" s="315"/>
      <c r="V37" s="313"/>
      <c r="W37" s="314"/>
      <c r="X37" s="314"/>
      <c r="Y37" s="314"/>
      <c r="Z37" s="314"/>
      <c r="AA37" s="315"/>
      <c r="AB37" s="298"/>
      <c r="AC37" s="299"/>
      <c r="AD37" s="299"/>
      <c r="AE37" s="299"/>
      <c r="AF37" s="299"/>
      <c r="AG37" s="300"/>
      <c r="AH37" s="304"/>
      <c r="AI37" s="305"/>
      <c r="AJ37" s="305"/>
      <c r="AK37" s="305"/>
      <c r="AL37" s="305"/>
      <c r="AM37" s="306"/>
      <c r="AN37" s="70"/>
      <c r="AO37" s="276"/>
      <c r="AP37" s="277"/>
      <c r="AQ37" s="277"/>
      <c r="AR37" s="277"/>
      <c r="AS37" s="277"/>
      <c r="AT37" s="278"/>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241"/>
      <c r="C38" s="241"/>
      <c r="D38" s="242"/>
      <c r="E38" s="279" t="s">
        <v>109</v>
      </c>
      <c r="F38" s="280"/>
      <c r="G38" s="280"/>
      <c r="H38" s="280"/>
      <c r="I38" s="281"/>
      <c r="J38" s="325" t="str">
        <f>IF(AND('Mapa final'!$J$9="Muy Baja",'Mapa final'!$N$9="Leve"),CONCATENATE("R",'Mapa final'!$A$9),"")</f>
        <v/>
      </c>
      <c r="K38" s="326"/>
      <c r="L38" s="326" t="str">
        <f>IF(AND('Mapa final'!$J$15="Muy Baja",'Mapa final'!$N$15="Leve"),CONCATENATE("R",'Mapa final'!$A$15),"")</f>
        <v/>
      </c>
      <c r="M38" s="326"/>
      <c r="N38" s="326" t="str">
        <f>IF(AND('Mapa final'!$J$21="Muy Baja",'Mapa final'!$N$21="Leve"),CONCATENATE("R",'Mapa final'!$A$21),"")</f>
        <v/>
      </c>
      <c r="O38" s="327"/>
      <c r="P38" s="325" t="str">
        <f>IF(AND('Mapa final'!$J$9="Muy Baja",'Mapa final'!$N$9="Menor"),CONCATENATE("R",'Mapa final'!$A$9),"")</f>
        <v/>
      </c>
      <c r="Q38" s="326"/>
      <c r="R38" s="326" t="str">
        <f>IF(AND('Mapa final'!$J$15="Muy Baja",'Mapa final'!$N$15="Menor"),CONCATENATE("R",'Mapa final'!$A$15),"")</f>
        <v/>
      </c>
      <c r="S38" s="326"/>
      <c r="T38" s="326" t="str">
        <f>IF(AND('Mapa final'!$J$21="Muy Baja",'Mapa final'!$N$21="Menor"),CONCATENATE("R",'Mapa final'!$A$21),"")</f>
        <v/>
      </c>
      <c r="U38" s="327"/>
      <c r="V38" s="316" t="str">
        <f>IF(AND('Mapa final'!$J$9="Muy Baja",'Mapa final'!$N$9="Moderado"),CONCATENATE("R",'Mapa final'!$A$9),"")</f>
        <v/>
      </c>
      <c r="W38" s="317"/>
      <c r="X38" s="317" t="str">
        <f>IF(AND('Mapa final'!$J$15="Muy Baja",'Mapa final'!$N$15="Moderado"),CONCATENATE("R",'Mapa final'!$A$15),"")</f>
        <v/>
      </c>
      <c r="Y38" s="317"/>
      <c r="Z38" s="317" t="str">
        <f>IF(AND('Mapa final'!$J$21="Muy Baja",'Mapa final'!$N$21="Moderado"),CONCATENATE("R",'Mapa final'!$A$21),"")</f>
        <v/>
      </c>
      <c r="AA38" s="318"/>
      <c r="AB38" s="291" t="str">
        <f>IF(AND('Mapa final'!$J$9="Muy Baja",'Mapa final'!$N$9="Mayor"),CONCATENATE("R",'Mapa final'!$A$9),"")</f>
        <v/>
      </c>
      <c r="AC38" s="292"/>
      <c r="AD38" s="292" t="str">
        <f>IF(AND('Mapa final'!$J$15="Muy Baja",'Mapa final'!$N$15="Mayor"),CONCATENATE("R",'Mapa final'!$A$15),"")</f>
        <v/>
      </c>
      <c r="AE38" s="292"/>
      <c r="AF38" s="292" t="str">
        <f>IF(AND('Mapa final'!$J$21="Muy Baja",'Mapa final'!$N$21="Mayor"),CONCATENATE("R",'Mapa final'!$A$21),"")</f>
        <v/>
      </c>
      <c r="AG38" s="294"/>
      <c r="AH38" s="307" t="str">
        <f>IF(AND('Mapa final'!$J$9="Muy Baja",'Mapa final'!$N$9="Catastrófico"),CONCATENATE("R",'Mapa final'!$A$9),"")</f>
        <v/>
      </c>
      <c r="AI38" s="308"/>
      <c r="AJ38" s="308" t="str">
        <f>IF(AND('Mapa final'!$J$15="Muy Baja",'Mapa final'!$N$15="Catastrófico"),CONCATENATE("R",'Mapa final'!$A$15),"")</f>
        <v/>
      </c>
      <c r="AK38" s="308"/>
      <c r="AL38" s="308" t="str">
        <f>IF(AND('Mapa final'!$J$21="Muy Baja",'Mapa final'!$N$21="Catastrófico"),CONCATENATE("R",'Mapa final'!$A$21),"")</f>
        <v/>
      </c>
      <c r="AM38" s="309"/>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241"/>
      <c r="C39" s="241"/>
      <c r="D39" s="242"/>
      <c r="E39" s="282"/>
      <c r="F39" s="283"/>
      <c r="G39" s="283"/>
      <c r="H39" s="283"/>
      <c r="I39" s="284"/>
      <c r="J39" s="321"/>
      <c r="K39" s="319"/>
      <c r="L39" s="319"/>
      <c r="M39" s="319"/>
      <c r="N39" s="319"/>
      <c r="O39" s="320"/>
      <c r="P39" s="321"/>
      <c r="Q39" s="319"/>
      <c r="R39" s="319"/>
      <c r="S39" s="319"/>
      <c r="T39" s="319"/>
      <c r="U39" s="320"/>
      <c r="V39" s="310"/>
      <c r="W39" s="311"/>
      <c r="X39" s="311"/>
      <c r="Y39" s="311"/>
      <c r="Z39" s="311"/>
      <c r="AA39" s="312"/>
      <c r="AB39" s="293"/>
      <c r="AC39" s="290"/>
      <c r="AD39" s="290"/>
      <c r="AE39" s="290"/>
      <c r="AF39" s="290"/>
      <c r="AG39" s="289"/>
      <c r="AH39" s="301"/>
      <c r="AI39" s="302"/>
      <c r="AJ39" s="302"/>
      <c r="AK39" s="302"/>
      <c r="AL39" s="302"/>
      <c r="AM39" s="303"/>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241"/>
      <c r="C40" s="241"/>
      <c r="D40" s="242"/>
      <c r="E40" s="282"/>
      <c r="F40" s="283"/>
      <c r="G40" s="283"/>
      <c r="H40" s="283"/>
      <c r="I40" s="284"/>
      <c r="J40" s="321" t="str">
        <f>IF(AND('Mapa final'!$J$27="Muy Baja",'Mapa final'!$N$27="Leve"),CONCATENATE("R",'Mapa final'!$A$27),"")</f>
        <v/>
      </c>
      <c r="K40" s="319"/>
      <c r="L40" s="319" t="str">
        <f>IF(AND('Mapa final'!$J$33="Muy Baja",'Mapa final'!$N$33="Leve"),CONCATENATE("R",'Mapa final'!$A$33),"")</f>
        <v/>
      </c>
      <c r="M40" s="319"/>
      <c r="N40" s="319" t="str">
        <f>IF(AND('Mapa final'!$J$39="Muy Baja",'Mapa final'!$N$39="Leve"),CONCATENATE("R",'Mapa final'!$A$39),"")</f>
        <v/>
      </c>
      <c r="O40" s="320"/>
      <c r="P40" s="321" t="str">
        <f>IF(AND('Mapa final'!$J$27="Muy Baja",'Mapa final'!$N$27="Menor"),CONCATENATE("R",'Mapa final'!$A$27),"")</f>
        <v/>
      </c>
      <c r="Q40" s="319"/>
      <c r="R40" s="319" t="str">
        <f>IF(AND('Mapa final'!$J$33="Muy Baja",'Mapa final'!$N$33="Menor"),CONCATENATE("R",'Mapa final'!$A$33),"")</f>
        <v/>
      </c>
      <c r="S40" s="319"/>
      <c r="T40" s="319" t="str">
        <f>IF(AND('Mapa final'!$J$39="Muy Baja",'Mapa final'!$N$39="Menor"),CONCATENATE("R",'Mapa final'!$A$39),"")</f>
        <v/>
      </c>
      <c r="U40" s="320"/>
      <c r="V40" s="310" t="str">
        <f>IF(AND('Mapa final'!$J$27="Muy Baja",'Mapa final'!$N$27="Moderado"),CONCATENATE("R",'Mapa final'!$A$27),"")</f>
        <v/>
      </c>
      <c r="W40" s="311"/>
      <c r="X40" s="311" t="str">
        <f>IF(AND('Mapa final'!$J$33="Muy Baja",'Mapa final'!$N$33="Moderado"),CONCATENATE("R",'Mapa final'!$A$33),"")</f>
        <v/>
      </c>
      <c r="Y40" s="311"/>
      <c r="Z40" s="311" t="str">
        <f>IF(AND('Mapa final'!$J$39="Muy Baja",'Mapa final'!$N$39="Moderado"),CONCATENATE("R",'Mapa final'!$A$39),"")</f>
        <v/>
      </c>
      <c r="AA40" s="312"/>
      <c r="AB40" s="293" t="str">
        <f>IF(AND('Mapa final'!$J$27="Muy Baja",'Mapa final'!$N$27="Mayor"),CONCATENATE("R",'Mapa final'!$A$27),"")</f>
        <v/>
      </c>
      <c r="AC40" s="290"/>
      <c r="AD40" s="288" t="str">
        <f>IF(AND('Mapa final'!$J$33="Muy Baja",'Mapa final'!$N$33="Mayor"),CONCATENATE("R",'Mapa final'!$A$33),"")</f>
        <v/>
      </c>
      <c r="AE40" s="288"/>
      <c r="AF40" s="288" t="str">
        <f>IF(AND('Mapa final'!$J$39="Muy Baja",'Mapa final'!$N$39="Mayor"),CONCATENATE("R",'Mapa final'!$A$39),"")</f>
        <v/>
      </c>
      <c r="AG40" s="289"/>
      <c r="AH40" s="301" t="str">
        <f>IF(AND('Mapa final'!$J$27="Muy Baja",'Mapa final'!$N$27="Catastrófico"),CONCATENATE("R",'Mapa final'!$A$27),"")</f>
        <v/>
      </c>
      <c r="AI40" s="302"/>
      <c r="AJ40" s="302" t="str">
        <f>IF(AND('Mapa final'!$J$33="Muy Baja",'Mapa final'!$N$33="Catastrófico"),CONCATENATE("R",'Mapa final'!$A$33),"")</f>
        <v/>
      </c>
      <c r="AK40" s="302"/>
      <c r="AL40" s="302" t="str">
        <f>IF(AND('Mapa final'!$J$39="Muy Baja",'Mapa final'!$N$39="Catastrófico"),CONCATENATE("R",'Mapa final'!$A$39),"")</f>
        <v/>
      </c>
      <c r="AM40" s="303"/>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241"/>
      <c r="C41" s="241"/>
      <c r="D41" s="242"/>
      <c r="E41" s="282"/>
      <c r="F41" s="283"/>
      <c r="G41" s="283"/>
      <c r="H41" s="283"/>
      <c r="I41" s="284"/>
      <c r="J41" s="321"/>
      <c r="K41" s="319"/>
      <c r="L41" s="319"/>
      <c r="M41" s="319"/>
      <c r="N41" s="319"/>
      <c r="O41" s="320"/>
      <c r="P41" s="321"/>
      <c r="Q41" s="319"/>
      <c r="R41" s="319"/>
      <c r="S41" s="319"/>
      <c r="T41" s="319"/>
      <c r="U41" s="320"/>
      <c r="V41" s="310"/>
      <c r="W41" s="311"/>
      <c r="X41" s="311"/>
      <c r="Y41" s="311"/>
      <c r="Z41" s="311"/>
      <c r="AA41" s="312"/>
      <c r="AB41" s="293"/>
      <c r="AC41" s="290"/>
      <c r="AD41" s="288"/>
      <c r="AE41" s="288"/>
      <c r="AF41" s="288"/>
      <c r="AG41" s="289"/>
      <c r="AH41" s="301"/>
      <c r="AI41" s="302"/>
      <c r="AJ41" s="302"/>
      <c r="AK41" s="302"/>
      <c r="AL41" s="302"/>
      <c r="AM41" s="303"/>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241"/>
      <c r="C42" s="241"/>
      <c r="D42" s="242"/>
      <c r="E42" s="282"/>
      <c r="F42" s="283"/>
      <c r="G42" s="283"/>
      <c r="H42" s="283"/>
      <c r="I42" s="284"/>
      <c r="J42" s="321" t="str">
        <f>IF(AND('Mapa final'!$J$45="Muy Baja",'Mapa final'!$N$45="Leve"),CONCATENATE("R",'Mapa final'!$A$45),"")</f>
        <v/>
      </c>
      <c r="K42" s="319"/>
      <c r="L42" s="319" t="str">
        <f>IF(AND('Mapa final'!$J$51="Muy Baja",'Mapa final'!$N$51="Leve"),CONCATENATE("R",'Mapa final'!$A$51),"")</f>
        <v/>
      </c>
      <c r="M42" s="319"/>
      <c r="N42" s="319" t="str">
        <f>IF(AND('Mapa final'!$J$57="Muy Baja",'Mapa final'!$N$57="Leve"),CONCATENATE("R",'Mapa final'!$A$57),"")</f>
        <v/>
      </c>
      <c r="O42" s="320"/>
      <c r="P42" s="321" t="str">
        <f>IF(AND('Mapa final'!$J$45="Muy Baja",'Mapa final'!$N$45="Menor"),CONCATENATE("R",'Mapa final'!$A$45),"")</f>
        <v/>
      </c>
      <c r="Q42" s="319"/>
      <c r="R42" s="319" t="str">
        <f>IF(AND('Mapa final'!$J$51="Muy Baja",'Mapa final'!$N$51="Menor"),CONCATENATE("R",'Mapa final'!$A$51),"")</f>
        <v/>
      </c>
      <c r="S42" s="319"/>
      <c r="T42" s="319" t="str">
        <f>IF(AND('Mapa final'!$J$57="Muy Baja",'Mapa final'!$N$57="Menor"),CONCATENATE("R",'Mapa final'!$A$57),"")</f>
        <v/>
      </c>
      <c r="U42" s="320"/>
      <c r="V42" s="310" t="str">
        <f>IF(AND('Mapa final'!$J$45="Muy Baja",'Mapa final'!$N$45="Moderado"),CONCATENATE("R",'Mapa final'!$A$45),"")</f>
        <v/>
      </c>
      <c r="W42" s="311"/>
      <c r="X42" s="311" t="str">
        <f>IF(AND('Mapa final'!$J$51="Muy Baja",'Mapa final'!$N$51="Moderado"),CONCATENATE("R",'Mapa final'!$A$51),"")</f>
        <v/>
      </c>
      <c r="Y42" s="311"/>
      <c r="Z42" s="311" t="str">
        <f>IF(AND('Mapa final'!$J$57="Muy Baja",'Mapa final'!$N$57="Moderado"),CONCATENATE("R",'Mapa final'!$A$57),"")</f>
        <v/>
      </c>
      <c r="AA42" s="312"/>
      <c r="AB42" s="293" t="str">
        <f>IF(AND('Mapa final'!$J$45="Muy Baja",'Mapa final'!$N$45="Mayor"),CONCATENATE("R",'Mapa final'!$A$45),"")</f>
        <v/>
      </c>
      <c r="AC42" s="290"/>
      <c r="AD42" s="288" t="str">
        <f>IF(AND('Mapa final'!$J$51="Muy Baja",'Mapa final'!$N$51="Mayor"),CONCATENATE("R",'Mapa final'!$A$51),"")</f>
        <v/>
      </c>
      <c r="AE42" s="288"/>
      <c r="AF42" s="288" t="str">
        <f>IF(AND('Mapa final'!$J$57="Muy Baja",'Mapa final'!$N$57="Mayor"),CONCATENATE("R",'Mapa final'!$A$57),"")</f>
        <v/>
      </c>
      <c r="AG42" s="289"/>
      <c r="AH42" s="301" t="str">
        <f>IF(AND('Mapa final'!$J$45="Muy Baja",'Mapa final'!$N$45="Catastrófico"),CONCATENATE("R",'Mapa final'!$A$45),"")</f>
        <v/>
      </c>
      <c r="AI42" s="302"/>
      <c r="AJ42" s="302" t="str">
        <f>IF(AND('Mapa final'!$J$51="Muy Baja",'Mapa final'!$N$51="Catastrófico"),CONCATENATE("R",'Mapa final'!$A$51),"")</f>
        <v/>
      </c>
      <c r="AK42" s="302"/>
      <c r="AL42" s="302" t="str">
        <f>IF(AND('Mapa final'!$J$57="Muy Baja",'Mapa final'!$N$57="Catastrófico"),CONCATENATE("R",'Mapa final'!$A$57),"")</f>
        <v/>
      </c>
      <c r="AM42" s="303"/>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241"/>
      <c r="C43" s="241"/>
      <c r="D43" s="242"/>
      <c r="E43" s="282"/>
      <c r="F43" s="283"/>
      <c r="G43" s="283"/>
      <c r="H43" s="283"/>
      <c r="I43" s="284"/>
      <c r="J43" s="321"/>
      <c r="K43" s="319"/>
      <c r="L43" s="319"/>
      <c r="M43" s="319"/>
      <c r="N43" s="319"/>
      <c r="O43" s="320"/>
      <c r="P43" s="321"/>
      <c r="Q43" s="319"/>
      <c r="R43" s="319"/>
      <c r="S43" s="319"/>
      <c r="T43" s="319"/>
      <c r="U43" s="320"/>
      <c r="V43" s="310"/>
      <c r="W43" s="311"/>
      <c r="X43" s="311"/>
      <c r="Y43" s="311"/>
      <c r="Z43" s="311"/>
      <c r="AA43" s="312"/>
      <c r="AB43" s="293"/>
      <c r="AC43" s="290"/>
      <c r="AD43" s="288"/>
      <c r="AE43" s="288"/>
      <c r="AF43" s="288"/>
      <c r="AG43" s="289"/>
      <c r="AH43" s="301"/>
      <c r="AI43" s="302"/>
      <c r="AJ43" s="302"/>
      <c r="AK43" s="302"/>
      <c r="AL43" s="302"/>
      <c r="AM43" s="303"/>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241"/>
      <c r="C44" s="241"/>
      <c r="D44" s="242"/>
      <c r="E44" s="282"/>
      <c r="F44" s="283"/>
      <c r="G44" s="283"/>
      <c r="H44" s="283"/>
      <c r="I44" s="284"/>
      <c r="J44" s="321" t="str">
        <f>IF(AND('Mapa final'!$J$63="Muy Baja",'Mapa final'!$N$63="Leve"),CONCATENATE("R",'Mapa final'!$A$63),"")</f>
        <v/>
      </c>
      <c r="K44" s="319"/>
      <c r="L44" s="319" t="str">
        <f>IF(AND('Mapa final'!$J$70="Muy Baja",'Mapa final'!$N$70="Leve"),CONCATENATE("R",'Mapa final'!$A$70),"")</f>
        <v/>
      </c>
      <c r="M44" s="319"/>
      <c r="N44" s="319" t="str">
        <f>IF(AND('Mapa final'!$J$76="Muy Baja",'Mapa final'!$N$76="Leve"),CONCATENATE("R",'Mapa final'!$A$76),"")</f>
        <v/>
      </c>
      <c r="O44" s="320"/>
      <c r="P44" s="321" t="str">
        <f>IF(AND('Mapa final'!$J$63="Muy Baja",'Mapa final'!$N$63="Menor"),CONCATENATE("R",'Mapa final'!$A$63),"")</f>
        <v/>
      </c>
      <c r="Q44" s="319"/>
      <c r="R44" s="319" t="str">
        <f>IF(AND('Mapa final'!$J$70="Muy Baja",'Mapa final'!$N$70="Menor"),CONCATENATE("R",'Mapa final'!$A$70),"")</f>
        <v/>
      </c>
      <c r="S44" s="319"/>
      <c r="T44" s="319" t="str">
        <f>IF(AND('Mapa final'!$J$76="Muy Baja",'Mapa final'!$N$76="Menor"),CONCATENATE("R",'Mapa final'!$A$76),"")</f>
        <v/>
      </c>
      <c r="U44" s="320"/>
      <c r="V44" s="310" t="str">
        <f>IF(AND('Mapa final'!$J$63="Muy Baja",'Mapa final'!$N$63="Moderado"),CONCATENATE("R",'Mapa final'!$A$63),"")</f>
        <v/>
      </c>
      <c r="W44" s="311"/>
      <c r="X44" s="311" t="str">
        <f>IF(AND('Mapa final'!$J$70="Muy Baja",'Mapa final'!$N$70="Moderado"),CONCATENATE("R",'Mapa final'!$A$70),"")</f>
        <v/>
      </c>
      <c r="Y44" s="311"/>
      <c r="Z44" s="311" t="str">
        <f>IF(AND('Mapa final'!$J$76="Muy Baja",'Mapa final'!$N$76="Moderado"),CONCATENATE("R",'Mapa final'!$A$76),"")</f>
        <v/>
      </c>
      <c r="AA44" s="312"/>
      <c r="AB44" s="293" t="str">
        <f>IF(AND('Mapa final'!$J$63="Muy Baja",'Mapa final'!$N$63="Mayor"),CONCATENATE("R",'Mapa final'!$A$63),"")</f>
        <v/>
      </c>
      <c r="AC44" s="290"/>
      <c r="AD44" s="288" t="str">
        <f>IF(AND('Mapa final'!$J$70="Muy Baja",'Mapa final'!$N$70="Mayor"),CONCATENATE("R",'Mapa final'!$A$70),"")</f>
        <v/>
      </c>
      <c r="AE44" s="288"/>
      <c r="AF44" s="288" t="str">
        <f>IF(AND('Mapa final'!$J$76="Muy Baja",'Mapa final'!$N$76="Mayor"),CONCATENATE("R",'Mapa final'!$A$76),"")</f>
        <v/>
      </c>
      <c r="AG44" s="289"/>
      <c r="AH44" s="301" t="str">
        <f>IF(AND('Mapa final'!$J$63="Muy Baja",'Mapa final'!$N$63="Catastrófico"),CONCATENATE("R",'Mapa final'!$A$63),"")</f>
        <v/>
      </c>
      <c r="AI44" s="302"/>
      <c r="AJ44" s="302" t="str">
        <f>IF(AND('Mapa final'!$J$70="Muy Baja",'Mapa final'!$N$70="Catastrófico"),CONCATENATE("R",'Mapa final'!$A$70),"")</f>
        <v/>
      </c>
      <c r="AK44" s="302"/>
      <c r="AL44" s="302" t="str">
        <f>IF(AND('Mapa final'!$J$76="Muy Baja",'Mapa final'!$N$76="Catastrófico"),CONCATENATE("R",'Mapa final'!$A$76),"")</f>
        <v/>
      </c>
      <c r="AM44" s="303"/>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241"/>
      <c r="C45" s="241"/>
      <c r="D45" s="242"/>
      <c r="E45" s="285"/>
      <c r="F45" s="286"/>
      <c r="G45" s="286"/>
      <c r="H45" s="286"/>
      <c r="I45" s="287"/>
      <c r="J45" s="322"/>
      <c r="K45" s="323"/>
      <c r="L45" s="323"/>
      <c r="M45" s="323"/>
      <c r="N45" s="323"/>
      <c r="O45" s="324"/>
      <c r="P45" s="322"/>
      <c r="Q45" s="323"/>
      <c r="R45" s="323"/>
      <c r="S45" s="323"/>
      <c r="T45" s="323"/>
      <c r="U45" s="324"/>
      <c r="V45" s="313"/>
      <c r="W45" s="314"/>
      <c r="X45" s="314"/>
      <c r="Y45" s="314"/>
      <c r="Z45" s="314"/>
      <c r="AA45" s="315"/>
      <c r="AB45" s="298"/>
      <c r="AC45" s="299"/>
      <c r="AD45" s="299"/>
      <c r="AE45" s="299"/>
      <c r="AF45" s="299"/>
      <c r="AG45" s="300"/>
      <c r="AH45" s="304"/>
      <c r="AI45" s="305"/>
      <c r="AJ45" s="305"/>
      <c r="AK45" s="305"/>
      <c r="AL45" s="305"/>
      <c r="AM45" s="306"/>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79" t="s">
        <v>108</v>
      </c>
      <c r="K46" s="280"/>
      <c r="L46" s="280"/>
      <c r="M46" s="280"/>
      <c r="N46" s="280"/>
      <c r="O46" s="281"/>
      <c r="P46" s="279" t="s">
        <v>107</v>
      </c>
      <c r="Q46" s="280"/>
      <c r="R46" s="280"/>
      <c r="S46" s="280"/>
      <c r="T46" s="280"/>
      <c r="U46" s="281"/>
      <c r="V46" s="279" t="s">
        <v>106</v>
      </c>
      <c r="W46" s="280"/>
      <c r="X46" s="280"/>
      <c r="Y46" s="280"/>
      <c r="Z46" s="280"/>
      <c r="AA46" s="281"/>
      <c r="AB46" s="279" t="s">
        <v>105</v>
      </c>
      <c r="AC46" s="297"/>
      <c r="AD46" s="280"/>
      <c r="AE46" s="280"/>
      <c r="AF46" s="280"/>
      <c r="AG46" s="281"/>
      <c r="AH46" s="279" t="s">
        <v>104</v>
      </c>
      <c r="AI46" s="280"/>
      <c r="AJ46" s="280"/>
      <c r="AK46" s="280"/>
      <c r="AL46" s="280"/>
      <c r="AM46" s="281"/>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82"/>
      <c r="K47" s="283"/>
      <c r="L47" s="283"/>
      <c r="M47" s="283"/>
      <c r="N47" s="283"/>
      <c r="O47" s="284"/>
      <c r="P47" s="282"/>
      <c r="Q47" s="283"/>
      <c r="R47" s="283"/>
      <c r="S47" s="283"/>
      <c r="T47" s="283"/>
      <c r="U47" s="284"/>
      <c r="V47" s="282"/>
      <c r="W47" s="283"/>
      <c r="X47" s="283"/>
      <c r="Y47" s="283"/>
      <c r="Z47" s="283"/>
      <c r="AA47" s="284"/>
      <c r="AB47" s="282"/>
      <c r="AC47" s="283"/>
      <c r="AD47" s="283"/>
      <c r="AE47" s="283"/>
      <c r="AF47" s="283"/>
      <c r="AG47" s="284"/>
      <c r="AH47" s="282"/>
      <c r="AI47" s="283"/>
      <c r="AJ47" s="283"/>
      <c r="AK47" s="283"/>
      <c r="AL47" s="283"/>
      <c r="AM47" s="284"/>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82"/>
      <c r="K48" s="283"/>
      <c r="L48" s="283"/>
      <c r="M48" s="283"/>
      <c r="N48" s="283"/>
      <c r="O48" s="284"/>
      <c r="P48" s="282"/>
      <c r="Q48" s="283"/>
      <c r="R48" s="283"/>
      <c r="S48" s="283"/>
      <c r="T48" s="283"/>
      <c r="U48" s="284"/>
      <c r="V48" s="282"/>
      <c r="W48" s="283"/>
      <c r="X48" s="283"/>
      <c r="Y48" s="283"/>
      <c r="Z48" s="283"/>
      <c r="AA48" s="284"/>
      <c r="AB48" s="282"/>
      <c r="AC48" s="283"/>
      <c r="AD48" s="283"/>
      <c r="AE48" s="283"/>
      <c r="AF48" s="283"/>
      <c r="AG48" s="284"/>
      <c r="AH48" s="282"/>
      <c r="AI48" s="283"/>
      <c r="AJ48" s="283"/>
      <c r="AK48" s="283"/>
      <c r="AL48" s="283"/>
      <c r="AM48" s="284"/>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82"/>
      <c r="K49" s="283"/>
      <c r="L49" s="283"/>
      <c r="M49" s="283"/>
      <c r="N49" s="283"/>
      <c r="O49" s="284"/>
      <c r="P49" s="282"/>
      <c r="Q49" s="283"/>
      <c r="R49" s="283"/>
      <c r="S49" s="283"/>
      <c r="T49" s="283"/>
      <c r="U49" s="284"/>
      <c r="V49" s="282"/>
      <c r="W49" s="283"/>
      <c r="X49" s="283"/>
      <c r="Y49" s="283"/>
      <c r="Z49" s="283"/>
      <c r="AA49" s="284"/>
      <c r="AB49" s="282"/>
      <c r="AC49" s="283"/>
      <c r="AD49" s="283"/>
      <c r="AE49" s="283"/>
      <c r="AF49" s="283"/>
      <c r="AG49" s="284"/>
      <c r="AH49" s="282"/>
      <c r="AI49" s="283"/>
      <c r="AJ49" s="283"/>
      <c r="AK49" s="283"/>
      <c r="AL49" s="283"/>
      <c r="AM49" s="284"/>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82"/>
      <c r="K50" s="283"/>
      <c r="L50" s="283"/>
      <c r="M50" s="283"/>
      <c r="N50" s="283"/>
      <c r="O50" s="284"/>
      <c r="P50" s="282"/>
      <c r="Q50" s="283"/>
      <c r="R50" s="283"/>
      <c r="S50" s="283"/>
      <c r="T50" s="283"/>
      <c r="U50" s="284"/>
      <c r="V50" s="282"/>
      <c r="W50" s="283"/>
      <c r="X50" s="283"/>
      <c r="Y50" s="283"/>
      <c r="Z50" s="283"/>
      <c r="AA50" s="284"/>
      <c r="AB50" s="282"/>
      <c r="AC50" s="283"/>
      <c r="AD50" s="283"/>
      <c r="AE50" s="283"/>
      <c r="AF50" s="283"/>
      <c r="AG50" s="284"/>
      <c r="AH50" s="282"/>
      <c r="AI50" s="283"/>
      <c r="AJ50" s="283"/>
      <c r="AK50" s="283"/>
      <c r="AL50" s="283"/>
      <c r="AM50" s="284"/>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85"/>
      <c r="K51" s="286"/>
      <c r="L51" s="286"/>
      <c r="M51" s="286"/>
      <c r="N51" s="286"/>
      <c r="O51" s="287"/>
      <c r="P51" s="285"/>
      <c r="Q51" s="286"/>
      <c r="R51" s="286"/>
      <c r="S51" s="286"/>
      <c r="T51" s="286"/>
      <c r="U51" s="287"/>
      <c r="V51" s="285"/>
      <c r="W51" s="286"/>
      <c r="X51" s="286"/>
      <c r="Y51" s="286"/>
      <c r="Z51" s="286"/>
      <c r="AA51" s="287"/>
      <c r="AB51" s="285"/>
      <c r="AC51" s="286"/>
      <c r="AD51" s="286"/>
      <c r="AE51" s="286"/>
      <c r="AF51" s="286"/>
      <c r="AG51" s="287"/>
      <c r="AH51" s="285"/>
      <c r="AI51" s="286"/>
      <c r="AJ51" s="286"/>
      <c r="AK51" s="286"/>
      <c r="AL51" s="286"/>
      <c r="AM51" s="287"/>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M248"/>
  <sheetViews>
    <sheetView topLeftCell="A10" zoomScale="40" zoomScaleNormal="40" workbookViewId="0">
      <selection activeCell="M46" sqref="M4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55" t="s">
        <v>153</v>
      </c>
      <c r="C2" s="356"/>
      <c r="D2" s="356"/>
      <c r="E2" s="356"/>
      <c r="F2" s="356"/>
      <c r="G2" s="356"/>
      <c r="H2" s="356"/>
      <c r="I2" s="356"/>
      <c r="J2" s="295" t="s">
        <v>2</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56"/>
      <c r="C3" s="356"/>
      <c r="D3" s="356"/>
      <c r="E3" s="356"/>
      <c r="F3" s="356"/>
      <c r="G3" s="356"/>
      <c r="H3" s="356"/>
      <c r="I3" s="356"/>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56"/>
      <c r="C4" s="356"/>
      <c r="D4" s="356"/>
      <c r="E4" s="356"/>
      <c r="F4" s="356"/>
      <c r="G4" s="356"/>
      <c r="H4" s="356"/>
      <c r="I4" s="356"/>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41" t="s">
        <v>3</v>
      </c>
      <c r="C6" s="241"/>
      <c r="D6" s="242"/>
      <c r="E6" s="338" t="s">
        <v>112</v>
      </c>
      <c r="F6" s="339"/>
      <c r="G6" s="339"/>
      <c r="H6" s="339"/>
      <c r="I6" s="357"/>
      <c r="J6" s="32" t="str">
        <f>IF(AND('Mapa final'!$AA$9="Muy Alta",'Mapa final'!$AC$9="Leve"),CONCATENATE("R1C",'Mapa final'!$Q$9),"")</f>
        <v/>
      </c>
      <c r="K6" s="33" t="str">
        <f>IF(AND('Mapa final'!$AA$10="Muy Alta",'Mapa final'!$AC$10="Leve"),CONCATENATE("R1C",'Mapa final'!$Q$10),"")</f>
        <v/>
      </c>
      <c r="L6" s="33" t="str">
        <f>IF(AND('Mapa final'!$AA$11="Muy Alta",'Mapa final'!$AC$11="Leve"),CONCATENATE("R1C",'Mapa final'!$Q$11),"")</f>
        <v/>
      </c>
      <c r="M6" s="33" t="str">
        <f>IF(AND('Mapa final'!$AA$12="Muy Alta",'Mapa final'!$AC$12="Leve"),CONCATENATE("R1C",'Mapa final'!$Q$12),"")</f>
        <v/>
      </c>
      <c r="N6" s="33" t="str">
        <f>IF(AND('Mapa final'!$AA$13="Muy Alta",'Mapa final'!$AC$13="Leve"),CONCATENATE("R1C",'Mapa final'!$Q$13),"")</f>
        <v/>
      </c>
      <c r="O6" s="34" t="str">
        <f>IF(AND('Mapa final'!$AA$14="Muy Alta",'Mapa final'!$AC$14="Leve"),CONCATENATE("R1C",'Mapa final'!$Q$14),"")</f>
        <v/>
      </c>
      <c r="P6" s="32" t="str">
        <f>IF(AND('Mapa final'!$AA$9="Muy Alta",'Mapa final'!$AC$9="Menor"),CONCATENATE("R1C",'Mapa final'!$Q$9),"")</f>
        <v/>
      </c>
      <c r="Q6" s="33" t="str">
        <f>IF(AND('Mapa final'!$AA$10="Muy Alta",'Mapa final'!$AC$10="Menor"),CONCATENATE("R1C",'Mapa final'!$Q$10),"")</f>
        <v/>
      </c>
      <c r="R6" s="33" t="str">
        <f>IF(AND('Mapa final'!$AA$11="Muy Alta",'Mapa final'!$AC$11="Menor"),CONCATENATE("R1C",'Mapa final'!$Q$11),"")</f>
        <v/>
      </c>
      <c r="S6" s="33" t="str">
        <f>IF(AND('Mapa final'!$AA$12="Muy Alta",'Mapa final'!$AC$12="Menor"),CONCATENATE("R1C",'Mapa final'!$Q$12),"")</f>
        <v/>
      </c>
      <c r="T6" s="33" t="str">
        <f>IF(AND('Mapa final'!$AA$13="Muy Alta",'Mapa final'!$AC$13="Menor"),CONCATENATE("R1C",'Mapa final'!$Q$13),"")</f>
        <v/>
      </c>
      <c r="U6" s="34" t="str">
        <f>IF(AND('Mapa final'!$AA$14="Muy Alta",'Mapa final'!$AC$14="Menor"),CONCATENATE("R1C",'Mapa final'!$Q$14),"")</f>
        <v/>
      </c>
      <c r="V6" s="32" t="str">
        <f>IF(AND('Mapa final'!$AA$9="Muy Alta",'Mapa final'!$AC$9="Moderado"),CONCATENATE("R1C",'Mapa final'!$Q$9),"")</f>
        <v/>
      </c>
      <c r="W6" s="33" t="str">
        <f>IF(AND('Mapa final'!$AA$10="Muy Alta",'Mapa final'!$AC$10="Moderado"),CONCATENATE("R1C",'Mapa final'!$Q$10),"")</f>
        <v/>
      </c>
      <c r="X6" s="33" t="str">
        <f>IF(AND('Mapa final'!$AA$11="Muy Alta",'Mapa final'!$AC$11="Moderado"),CONCATENATE("R1C",'Mapa final'!$Q$11),"")</f>
        <v/>
      </c>
      <c r="Y6" s="33" t="str">
        <f>IF(AND('Mapa final'!$AA$12="Muy Alta",'Mapa final'!$AC$12="Moderado"),CONCATENATE("R1C",'Mapa final'!$Q$12),"")</f>
        <v/>
      </c>
      <c r="Z6" s="33" t="str">
        <f>IF(AND('Mapa final'!$AA$13="Muy Alta",'Mapa final'!$AC$13="Moderado"),CONCATENATE("R1C",'Mapa final'!$Q$13),"")</f>
        <v/>
      </c>
      <c r="AA6" s="34" t="str">
        <f>IF(AND('Mapa final'!$AA$14="Muy Alta",'Mapa final'!$AC$14="Moderado"),CONCATENATE("R1C",'Mapa final'!$Q$14),"")</f>
        <v/>
      </c>
      <c r="AB6" s="32" t="str">
        <f>IF(AND('Mapa final'!$AA$9="Muy Alta",'Mapa final'!$AC$9="Mayor"),CONCATENATE("R1C",'Mapa final'!$Q$9),"")</f>
        <v/>
      </c>
      <c r="AC6" s="33" t="str">
        <f>IF(AND('Mapa final'!$AA$10="Muy Alta",'Mapa final'!$AC$10="Mayor"),CONCATENATE("R1C",'Mapa final'!$Q$10),"")</f>
        <v/>
      </c>
      <c r="AD6" s="33" t="str">
        <f>IF(AND('Mapa final'!$AA$11="Muy Alta",'Mapa final'!$AC$11="Mayor"),CONCATENATE("R1C",'Mapa final'!$Q$11),"")</f>
        <v/>
      </c>
      <c r="AE6" s="33" t="str">
        <f>IF(AND('Mapa final'!$AA$12="Muy Alta",'Mapa final'!$AC$12="Mayor"),CONCATENATE("R1C",'Mapa final'!$Q$12),"")</f>
        <v/>
      </c>
      <c r="AF6" s="33" t="str">
        <f>IF(AND('Mapa final'!$AA$13="Muy Alta",'Mapa final'!$AC$13="Mayor"),CONCATENATE("R1C",'Mapa final'!$Q$13),"")</f>
        <v/>
      </c>
      <c r="AG6" s="34" t="str">
        <f>IF(AND('Mapa final'!$AA$14="Muy Alta",'Mapa final'!$AC$14="Mayor"),CONCATENATE("R1C",'Mapa final'!$Q$14),"")</f>
        <v/>
      </c>
      <c r="AH6" s="35" t="str">
        <f>IF(AND('Mapa final'!$AA$9="Muy Alta",'Mapa final'!$AC$9="Catastrófico"),CONCATENATE("R1C",'Mapa final'!$Q$9),"")</f>
        <v/>
      </c>
      <c r="AI6" s="36" t="str">
        <f>IF(AND('Mapa final'!$AA$10="Muy Alta",'Mapa final'!$AC$10="Catastrófico"),CONCATENATE("R1C",'Mapa final'!$Q$10),"")</f>
        <v/>
      </c>
      <c r="AJ6" s="36" t="str">
        <f>IF(AND('Mapa final'!$AA$11="Muy Alta",'Mapa final'!$AC$11="Catastrófico"),CONCATENATE("R1C",'Mapa final'!$Q$11),"")</f>
        <v/>
      </c>
      <c r="AK6" s="36" t="str">
        <f>IF(AND('Mapa final'!$AA$12="Muy Alta",'Mapa final'!$AC$12="Catastrófico"),CONCATENATE("R1C",'Mapa final'!$Q$12),"")</f>
        <v/>
      </c>
      <c r="AL6" s="36" t="str">
        <f>IF(AND('Mapa final'!$AA$13="Muy Alta",'Mapa final'!$AC$13="Catastrófico"),CONCATENATE("R1C",'Mapa final'!$Q$13),"")</f>
        <v/>
      </c>
      <c r="AM6" s="37" t="str">
        <f>IF(AND('Mapa final'!$AA$14="Muy Alta",'Mapa final'!$AC$14="Catastrófico"),CONCATENATE("R1C",'Mapa final'!$Q$14),"")</f>
        <v/>
      </c>
      <c r="AN6" s="70"/>
      <c r="AO6" s="346" t="s">
        <v>75</v>
      </c>
      <c r="AP6" s="347"/>
      <c r="AQ6" s="347"/>
      <c r="AR6" s="347"/>
      <c r="AS6" s="347"/>
      <c r="AT6" s="348"/>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41"/>
      <c r="C7" s="241"/>
      <c r="D7" s="242"/>
      <c r="E7" s="342"/>
      <c r="F7" s="343"/>
      <c r="G7" s="343"/>
      <c r="H7" s="343"/>
      <c r="I7" s="358"/>
      <c r="J7" s="38" t="str">
        <f>IF(AND('Mapa final'!$AA$15="Muy Alta",'Mapa final'!$AC$15="Leve"),CONCATENATE("R2C",'Mapa final'!$Q$15),"")</f>
        <v/>
      </c>
      <c r="K7" s="39" t="str">
        <f>IF(AND('Mapa final'!$AA$16="Muy Alta",'Mapa final'!$AC$16="Leve"),CONCATENATE("R2C",'Mapa final'!$Q$16),"")</f>
        <v/>
      </c>
      <c r="L7" s="39" t="str">
        <f>IF(AND('Mapa final'!$AA$17="Muy Alta",'Mapa final'!$AC$17="Leve"),CONCATENATE("R2C",'Mapa final'!$Q$17),"")</f>
        <v/>
      </c>
      <c r="M7" s="39" t="str">
        <f>IF(AND('Mapa final'!$AA$18="Muy Alta",'Mapa final'!$AC$18="Leve"),CONCATENATE("R2C",'Mapa final'!$Q$18),"")</f>
        <v/>
      </c>
      <c r="N7" s="39" t="str">
        <f>IF(AND('Mapa final'!$AA$19="Muy Alta",'Mapa final'!$AC$19="Leve"),CONCATENATE("R2C",'Mapa final'!$Q$19),"")</f>
        <v/>
      </c>
      <c r="O7" s="40" t="str">
        <f>IF(AND('Mapa final'!$AA$20="Muy Alta",'Mapa final'!$AC$20="Leve"),CONCATENATE("R2C",'Mapa final'!$Q$20),"")</f>
        <v/>
      </c>
      <c r="P7" s="38" t="str">
        <f>IF(AND('Mapa final'!$AA$15="Muy Alta",'Mapa final'!$AC$15="Menor"),CONCATENATE("R2C",'Mapa final'!$Q$15),"")</f>
        <v/>
      </c>
      <c r="Q7" s="39" t="str">
        <f>IF(AND('Mapa final'!$AA$16="Muy Alta",'Mapa final'!$AC$16="Menor"),CONCATENATE("R2C",'Mapa final'!$Q$16),"")</f>
        <v/>
      </c>
      <c r="R7" s="39" t="str">
        <f>IF(AND('Mapa final'!$AA$17="Muy Alta",'Mapa final'!$AC$17="Menor"),CONCATENATE("R2C",'Mapa final'!$Q$17),"")</f>
        <v/>
      </c>
      <c r="S7" s="39" t="str">
        <f>IF(AND('Mapa final'!$AA$18="Muy Alta",'Mapa final'!$AC$18="Menor"),CONCATENATE("R2C",'Mapa final'!$Q$18),"")</f>
        <v/>
      </c>
      <c r="T7" s="39" t="str">
        <f>IF(AND('Mapa final'!$AA$19="Muy Alta",'Mapa final'!$AC$19="Menor"),CONCATENATE("R2C",'Mapa final'!$Q$19),"")</f>
        <v/>
      </c>
      <c r="U7" s="40" t="str">
        <f>IF(AND('Mapa final'!$AA$20="Muy Alta",'Mapa final'!$AC$20="Menor"),CONCATENATE("R2C",'Mapa final'!$Q$20),"")</f>
        <v/>
      </c>
      <c r="V7" s="38" t="str">
        <f>IF(AND('Mapa final'!$AA$15="Muy Alta",'Mapa final'!$AC$15="Moderado"),CONCATENATE("R2C",'Mapa final'!$Q$15),"")</f>
        <v/>
      </c>
      <c r="W7" s="39" t="str">
        <f>IF(AND('Mapa final'!$AA$16="Muy Alta",'Mapa final'!$AC$16="Moderado"),CONCATENATE("R2C",'Mapa final'!$Q$16),"")</f>
        <v/>
      </c>
      <c r="X7" s="39" t="str">
        <f>IF(AND('Mapa final'!$AA$17="Muy Alta",'Mapa final'!$AC$17="Moderado"),CONCATENATE("R2C",'Mapa final'!$Q$17),"")</f>
        <v/>
      </c>
      <c r="Y7" s="39" t="str">
        <f>IF(AND('Mapa final'!$AA$18="Muy Alta",'Mapa final'!$AC$18="Moderado"),CONCATENATE("R2C",'Mapa final'!$Q$18),"")</f>
        <v/>
      </c>
      <c r="Z7" s="39" t="str">
        <f>IF(AND('Mapa final'!$AA$19="Muy Alta",'Mapa final'!$AC$19="Moderado"),CONCATENATE("R2C",'Mapa final'!$Q$19),"")</f>
        <v/>
      </c>
      <c r="AA7" s="40" t="str">
        <f>IF(AND('Mapa final'!$AA$20="Muy Alta",'Mapa final'!$AC$20="Moderado"),CONCATENATE("R2C",'Mapa final'!$Q$20),"")</f>
        <v/>
      </c>
      <c r="AB7" s="38" t="str">
        <f>IF(AND('Mapa final'!$AA$15="Muy Alta",'Mapa final'!$AC$15="Mayor"),CONCATENATE("R2C",'Mapa final'!$Q$15),"")</f>
        <v/>
      </c>
      <c r="AC7" s="39" t="str">
        <f>IF(AND('Mapa final'!$AA$16="Muy Alta",'Mapa final'!$AC$16="Mayor"),CONCATENATE("R2C",'Mapa final'!$Q$16),"")</f>
        <v/>
      </c>
      <c r="AD7" s="39" t="str">
        <f>IF(AND('Mapa final'!$AA$17="Muy Alta",'Mapa final'!$AC$17="Mayor"),CONCATENATE("R2C",'Mapa final'!$Q$17),"")</f>
        <v/>
      </c>
      <c r="AE7" s="39" t="str">
        <f>IF(AND('Mapa final'!$AA$18="Muy Alta",'Mapa final'!$AC$18="Mayor"),CONCATENATE("R2C",'Mapa final'!$Q$18),"")</f>
        <v/>
      </c>
      <c r="AF7" s="39" t="str">
        <f>IF(AND('Mapa final'!$AA$19="Muy Alta",'Mapa final'!$AC$19="Mayor"),CONCATENATE("R2C",'Mapa final'!$Q$19),"")</f>
        <v/>
      </c>
      <c r="AG7" s="40" t="str">
        <f>IF(AND('Mapa final'!$AA$20="Muy Alta",'Mapa final'!$AC$20="Mayor"),CONCATENATE("R2C",'Mapa final'!$Q$20),"")</f>
        <v/>
      </c>
      <c r="AH7" s="41" t="str">
        <f>IF(AND('Mapa final'!$AA$15="Muy Alta",'Mapa final'!$AC$15="Catastrófico"),CONCATENATE("R2C",'Mapa final'!$Q$15),"")</f>
        <v/>
      </c>
      <c r="AI7" s="42" t="str">
        <f>IF(AND('Mapa final'!$AA$16="Muy Alta",'Mapa final'!$AC$16="Catastrófico"),CONCATENATE("R2C",'Mapa final'!$Q$16),"")</f>
        <v/>
      </c>
      <c r="AJ7" s="42" t="str">
        <f>IF(AND('Mapa final'!$AA$17="Muy Alta",'Mapa final'!$AC$17="Catastrófico"),CONCATENATE("R2C",'Mapa final'!$Q$17),"")</f>
        <v/>
      </c>
      <c r="AK7" s="42" t="str">
        <f>IF(AND('Mapa final'!$AA$18="Muy Alta",'Mapa final'!$AC$18="Catastrófico"),CONCATENATE("R2C",'Mapa final'!$Q$18),"")</f>
        <v/>
      </c>
      <c r="AL7" s="42" t="str">
        <f>IF(AND('Mapa final'!$AA$19="Muy Alta",'Mapa final'!$AC$19="Catastrófico"),CONCATENATE("R2C",'Mapa final'!$Q$19),"")</f>
        <v/>
      </c>
      <c r="AM7" s="43" t="str">
        <f>IF(AND('Mapa final'!$AA$20="Muy Alta",'Mapa final'!$AC$20="Catastrófico"),CONCATENATE("R2C",'Mapa final'!$Q$20),"")</f>
        <v/>
      </c>
      <c r="AN7" s="70"/>
      <c r="AO7" s="349"/>
      <c r="AP7" s="350"/>
      <c r="AQ7" s="350"/>
      <c r="AR7" s="350"/>
      <c r="AS7" s="350"/>
      <c r="AT7" s="351"/>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41"/>
      <c r="C8" s="241"/>
      <c r="D8" s="242"/>
      <c r="E8" s="342"/>
      <c r="F8" s="343"/>
      <c r="G8" s="343"/>
      <c r="H8" s="343"/>
      <c r="I8" s="358"/>
      <c r="J8" s="38" t="str">
        <f>IF(AND('Mapa final'!$AA$21="Muy Alta",'Mapa final'!$AC$21="Leve"),CONCATENATE("R3C",'Mapa final'!$Q$21),"")</f>
        <v/>
      </c>
      <c r="K8" s="39" t="str">
        <f>IF(AND('Mapa final'!$AA$22="Muy Alta",'Mapa final'!$AC$22="Leve"),CONCATENATE("R3C",'Mapa final'!$Q$22),"")</f>
        <v/>
      </c>
      <c r="L8" s="39" t="str">
        <f>IF(AND('Mapa final'!$AA$23="Muy Alta",'Mapa final'!$AC$23="Leve"),CONCATENATE("R3C",'Mapa final'!$Q$23),"")</f>
        <v/>
      </c>
      <c r="M8" s="39" t="str">
        <f>IF(AND('Mapa final'!$AA$24="Muy Alta",'Mapa final'!$AC$24="Leve"),CONCATENATE("R3C",'Mapa final'!$Q$24),"")</f>
        <v/>
      </c>
      <c r="N8" s="39" t="str">
        <f>IF(AND('Mapa final'!$AA$25="Muy Alta",'Mapa final'!$AC$25="Leve"),CONCATENATE("R3C",'Mapa final'!$Q$25),"")</f>
        <v/>
      </c>
      <c r="O8" s="40" t="str">
        <f>IF(AND('Mapa final'!$AA$26="Muy Alta",'Mapa final'!$AC$26="Leve"),CONCATENATE("R3C",'Mapa final'!$Q$26),"")</f>
        <v/>
      </c>
      <c r="P8" s="38" t="str">
        <f>IF(AND('Mapa final'!$AA$21="Muy Alta",'Mapa final'!$AC$21="Menor"),CONCATENATE("R3C",'Mapa final'!$Q$21),"")</f>
        <v/>
      </c>
      <c r="Q8" s="39" t="str">
        <f>IF(AND('Mapa final'!$AA$22="Muy Alta",'Mapa final'!$AC$22="Menor"),CONCATENATE("R3C",'Mapa final'!$Q$22),"")</f>
        <v/>
      </c>
      <c r="R8" s="39" t="str">
        <f>IF(AND('Mapa final'!$AA$23="Muy Alta",'Mapa final'!$AC$23="Menor"),CONCATENATE("R3C",'Mapa final'!$Q$23),"")</f>
        <v/>
      </c>
      <c r="S8" s="39" t="str">
        <f>IF(AND('Mapa final'!$AA$24="Muy Alta",'Mapa final'!$AC$24="Menor"),CONCATENATE("R3C",'Mapa final'!$Q$24),"")</f>
        <v/>
      </c>
      <c r="T8" s="39" t="str">
        <f>IF(AND('Mapa final'!$AA$25="Muy Alta",'Mapa final'!$AC$25="Menor"),CONCATENATE("R3C",'Mapa final'!$Q$25),"")</f>
        <v/>
      </c>
      <c r="U8" s="40" t="str">
        <f>IF(AND('Mapa final'!$AA$26="Muy Alta",'Mapa final'!$AC$26="Menor"),CONCATENATE("R3C",'Mapa final'!$Q$26),"")</f>
        <v/>
      </c>
      <c r="V8" s="38" t="str">
        <f>IF(AND('Mapa final'!$AA$21="Muy Alta",'Mapa final'!$AC$21="Moderado"),CONCATENATE("R3C",'Mapa final'!$Q$21),"")</f>
        <v/>
      </c>
      <c r="W8" s="39" t="str">
        <f>IF(AND('Mapa final'!$AA$22="Muy Alta",'Mapa final'!$AC$22="Moderado"),CONCATENATE("R3C",'Mapa final'!$Q$22),"")</f>
        <v/>
      </c>
      <c r="X8" s="39" t="str">
        <f>IF(AND('Mapa final'!$AA$23="Muy Alta",'Mapa final'!$AC$23="Moderado"),CONCATENATE("R3C",'Mapa final'!$Q$23),"")</f>
        <v/>
      </c>
      <c r="Y8" s="39" t="str">
        <f>IF(AND('Mapa final'!$AA$24="Muy Alta",'Mapa final'!$AC$24="Moderado"),CONCATENATE("R3C",'Mapa final'!$Q$24),"")</f>
        <v/>
      </c>
      <c r="Z8" s="39" t="str">
        <f>IF(AND('Mapa final'!$AA$25="Muy Alta",'Mapa final'!$AC$25="Moderado"),CONCATENATE("R3C",'Mapa final'!$Q$25),"")</f>
        <v/>
      </c>
      <c r="AA8" s="40" t="str">
        <f>IF(AND('Mapa final'!$AA$26="Muy Alta",'Mapa final'!$AC$26="Moderado"),CONCATENATE("R3C",'Mapa final'!$Q$26),"")</f>
        <v/>
      </c>
      <c r="AB8" s="38" t="str">
        <f>IF(AND('Mapa final'!$AA$21="Muy Alta",'Mapa final'!$AC$21="Mayor"),CONCATENATE("R3C",'Mapa final'!$Q$21),"")</f>
        <v/>
      </c>
      <c r="AC8" s="39" t="str">
        <f>IF(AND('Mapa final'!$AA$22="Muy Alta",'Mapa final'!$AC$22="Mayor"),CONCATENATE("R3C",'Mapa final'!$Q$22),"")</f>
        <v/>
      </c>
      <c r="AD8" s="39" t="str">
        <f>IF(AND('Mapa final'!$AA$23="Muy Alta",'Mapa final'!$AC$23="Mayor"),CONCATENATE("R3C",'Mapa final'!$Q$23),"")</f>
        <v/>
      </c>
      <c r="AE8" s="39" t="str">
        <f>IF(AND('Mapa final'!$AA$24="Muy Alta",'Mapa final'!$AC$24="Mayor"),CONCATENATE("R3C",'Mapa final'!$Q$24),"")</f>
        <v/>
      </c>
      <c r="AF8" s="39" t="str">
        <f>IF(AND('Mapa final'!$AA$25="Muy Alta",'Mapa final'!$AC$25="Mayor"),CONCATENATE("R3C",'Mapa final'!$Q$25),"")</f>
        <v/>
      </c>
      <c r="AG8" s="40" t="str">
        <f>IF(AND('Mapa final'!$AA$26="Muy Alta",'Mapa final'!$AC$26="Mayor"),CONCATENATE("R3C",'Mapa final'!$Q$26),"")</f>
        <v/>
      </c>
      <c r="AH8" s="41" t="str">
        <f>IF(AND('Mapa final'!$AA$21="Muy Alta",'Mapa final'!$AC$21="Catastrófico"),CONCATENATE("R3C",'Mapa final'!$Q$21),"")</f>
        <v/>
      </c>
      <c r="AI8" s="42" t="str">
        <f>IF(AND('Mapa final'!$AA$22="Muy Alta",'Mapa final'!$AC$22="Catastrófico"),CONCATENATE("R3C",'Mapa final'!$Q$22),"")</f>
        <v/>
      </c>
      <c r="AJ8" s="42" t="str">
        <f>IF(AND('Mapa final'!$AA$23="Muy Alta",'Mapa final'!$AC$23="Catastrófico"),CONCATENATE("R3C",'Mapa final'!$Q$23),"")</f>
        <v/>
      </c>
      <c r="AK8" s="42" t="str">
        <f>IF(AND('Mapa final'!$AA$24="Muy Alta",'Mapa final'!$AC$24="Catastrófico"),CONCATENATE("R3C",'Mapa final'!$Q$24),"")</f>
        <v/>
      </c>
      <c r="AL8" s="42" t="str">
        <f>IF(AND('Mapa final'!$AA$25="Muy Alta",'Mapa final'!$AC$25="Catastrófico"),CONCATENATE("R3C",'Mapa final'!$Q$25),"")</f>
        <v/>
      </c>
      <c r="AM8" s="43" t="str">
        <f>IF(AND('Mapa final'!$AA$26="Muy Alta",'Mapa final'!$AC$26="Catastrófico"),CONCATENATE("R3C",'Mapa final'!$Q$26),"")</f>
        <v/>
      </c>
      <c r="AN8" s="70"/>
      <c r="AO8" s="349"/>
      <c r="AP8" s="350"/>
      <c r="AQ8" s="350"/>
      <c r="AR8" s="350"/>
      <c r="AS8" s="350"/>
      <c r="AT8" s="351"/>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41"/>
      <c r="C9" s="241"/>
      <c r="D9" s="242"/>
      <c r="E9" s="342"/>
      <c r="F9" s="343"/>
      <c r="G9" s="343"/>
      <c r="H9" s="343"/>
      <c r="I9" s="358"/>
      <c r="J9" s="38" t="str">
        <f>IF(AND('Mapa final'!$AA$27="Muy Alta",'Mapa final'!$AC$27="Leve"),CONCATENATE("R4C",'Mapa final'!$Q$27),"")</f>
        <v/>
      </c>
      <c r="K9" s="39" t="str">
        <f>IF(AND('Mapa final'!$AA$28="Muy Alta",'Mapa final'!$AC$28="Leve"),CONCATENATE("R4C",'Mapa final'!$Q$28),"")</f>
        <v/>
      </c>
      <c r="L9" s="44" t="str">
        <f>IF(AND('Mapa final'!$AA$29="Muy Alta",'Mapa final'!$AC$29="Leve"),CONCATENATE("R4C",'Mapa final'!$Q$29),"")</f>
        <v/>
      </c>
      <c r="M9" s="44" t="str">
        <f>IF(AND('Mapa final'!$AA$30="Muy Alta",'Mapa final'!$AC$30="Leve"),CONCATENATE("R4C",'Mapa final'!$Q$30),"")</f>
        <v/>
      </c>
      <c r="N9" s="44" t="str">
        <f>IF(AND('Mapa final'!$AA$31="Muy Alta",'Mapa final'!$AC$31="Leve"),CONCATENATE("R4C",'Mapa final'!$Q$31),"")</f>
        <v/>
      </c>
      <c r="O9" s="40" t="str">
        <f>IF(AND('Mapa final'!$AA$32="Muy Alta",'Mapa final'!$AC$32="Leve"),CONCATENATE("R4C",'Mapa final'!$Q$32),"")</f>
        <v/>
      </c>
      <c r="P9" s="38" t="str">
        <f>IF(AND('Mapa final'!$AA$27="Muy Alta",'Mapa final'!$AC$27="Menor"),CONCATENATE("R4C",'Mapa final'!$Q$27),"")</f>
        <v/>
      </c>
      <c r="Q9" s="39" t="str">
        <f>IF(AND('Mapa final'!$AA$28="Muy Alta",'Mapa final'!$AC$28="Menor"),CONCATENATE("R4C",'Mapa final'!$Q$28),"")</f>
        <v/>
      </c>
      <c r="R9" s="44" t="str">
        <f>IF(AND('Mapa final'!$AA$29="Muy Alta",'Mapa final'!$AC$29="Menor"),CONCATENATE("R4C",'Mapa final'!$Q$29),"")</f>
        <v/>
      </c>
      <c r="S9" s="44" t="str">
        <f>IF(AND('Mapa final'!$AA$30="Muy Alta",'Mapa final'!$AC$30="Menor"),CONCATENATE("R4C",'Mapa final'!$Q$30),"")</f>
        <v/>
      </c>
      <c r="T9" s="44" t="str">
        <f>IF(AND('Mapa final'!$AA$31="Muy Alta",'Mapa final'!$AC$31="Menor"),CONCATENATE("R4C",'Mapa final'!$Q$31),"")</f>
        <v/>
      </c>
      <c r="U9" s="40" t="str">
        <f>IF(AND('Mapa final'!$AA$32="Muy Alta",'Mapa final'!$AC$32="Menor"),CONCATENATE("R4C",'Mapa final'!$Q$32),"")</f>
        <v/>
      </c>
      <c r="V9" s="38" t="str">
        <f>IF(AND('Mapa final'!$AA$27="Muy Alta",'Mapa final'!$AC$27="Moderado"),CONCATENATE("R4C",'Mapa final'!$Q$27),"")</f>
        <v/>
      </c>
      <c r="W9" s="39" t="str">
        <f>IF(AND('Mapa final'!$AA$28="Muy Alta",'Mapa final'!$AC$28="Moderado"),CONCATENATE("R4C",'Mapa final'!$Q$28),"")</f>
        <v/>
      </c>
      <c r="X9" s="44" t="str">
        <f>IF(AND('Mapa final'!$AA$29="Muy Alta",'Mapa final'!$AC$29="Moderado"),CONCATENATE("R4C",'Mapa final'!$Q$29),"")</f>
        <v/>
      </c>
      <c r="Y9" s="44" t="str">
        <f>IF(AND('Mapa final'!$AA$30="Muy Alta",'Mapa final'!$AC$30="Moderado"),CONCATENATE("R4C",'Mapa final'!$Q$30),"")</f>
        <v/>
      </c>
      <c r="Z9" s="44" t="str">
        <f>IF(AND('Mapa final'!$AA$31="Muy Alta",'Mapa final'!$AC$31="Moderado"),CONCATENATE("R4C",'Mapa final'!$Q$31),"")</f>
        <v/>
      </c>
      <c r="AA9" s="40" t="str">
        <f>IF(AND('Mapa final'!$AA$32="Muy Alta",'Mapa final'!$AC$32="Moderado"),CONCATENATE("R4C",'Mapa final'!$Q$32),"")</f>
        <v/>
      </c>
      <c r="AB9" s="38" t="str">
        <f>IF(AND('Mapa final'!$AA$27="Muy Alta",'Mapa final'!$AC$27="Mayor"),CONCATENATE("R4C",'Mapa final'!$Q$27),"")</f>
        <v/>
      </c>
      <c r="AC9" s="39" t="str">
        <f>IF(AND('Mapa final'!$AA$28="Muy Alta",'Mapa final'!$AC$28="Mayor"),CONCATENATE("R4C",'Mapa final'!$Q$28),"")</f>
        <v/>
      </c>
      <c r="AD9" s="44" t="str">
        <f>IF(AND('Mapa final'!$AA$29="Muy Alta",'Mapa final'!$AC$29="Mayor"),CONCATENATE("R4C",'Mapa final'!$Q$29),"")</f>
        <v/>
      </c>
      <c r="AE9" s="44" t="str">
        <f>IF(AND('Mapa final'!$AA$30="Muy Alta",'Mapa final'!$AC$30="Mayor"),CONCATENATE("R4C",'Mapa final'!$Q$30),"")</f>
        <v/>
      </c>
      <c r="AF9" s="44" t="str">
        <f>IF(AND('Mapa final'!$AA$31="Muy Alta",'Mapa final'!$AC$31="Mayor"),CONCATENATE("R4C",'Mapa final'!$Q$31),"")</f>
        <v/>
      </c>
      <c r="AG9" s="40" t="str">
        <f>IF(AND('Mapa final'!$AA$32="Muy Alta",'Mapa final'!$AC$32="Mayor"),CONCATENATE("R4C",'Mapa final'!$Q$32),"")</f>
        <v/>
      </c>
      <c r="AH9" s="41" t="str">
        <f>IF(AND('Mapa final'!$AA$27="Muy Alta",'Mapa final'!$AC$27="Catastrófico"),CONCATENATE("R4C",'Mapa final'!$Q$27),"")</f>
        <v/>
      </c>
      <c r="AI9" s="42" t="str">
        <f>IF(AND('Mapa final'!$AA$28="Muy Alta",'Mapa final'!$AC$28="Catastrófico"),CONCATENATE("R4C",'Mapa final'!$Q$28),"")</f>
        <v/>
      </c>
      <c r="AJ9" s="42" t="str">
        <f>IF(AND('Mapa final'!$AA$29="Muy Alta",'Mapa final'!$AC$29="Catastrófico"),CONCATENATE("R4C",'Mapa final'!$Q$29),"")</f>
        <v/>
      </c>
      <c r="AK9" s="42" t="str">
        <f>IF(AND('Mapa final'!$AA$30="Muy Alta",'Mapa final'!$AC$30="Catastrófico"),CONCATENATE("R4C",'Mapa final'!$Q$30),"")</f>
        <v/>
      </c>
      <c r="AL9" s="42" t="str">
        <f>IF(AND('Mapa final'!$AA$31="Muy Alta",'Mapa final'!$AC$31="Catastrófico"),CONCATENATE("R4C",'Mapa final'!$Q$31),"")</f>
        <v/>
      </c>
      <c r="AM9" s="43" t="str">
        <f>IF(AND('Mapa final'!$AA$32="Muy Alta",'Mapa final'!$AC$32="Catastrófico"),CONCATENATE("R4C",'Mapa final'!$Q$32),"")</f>
        <v/>
      </c>
      <c r="AN9" s="70"/>
      <c r="AO9" s="349"/>
      <c r="AP9" s="350"/>
      <c r="AQ9" s="350"/>
      <c r="AR9" s="350"/>
      <c r="AS9" s="350"/>
      <c r="AT9" s="351"/>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41"/>
      <c r="C10" s="241"/>
      <c r="D10" s="242"/>
      <c r="E10" s="342"/>
      <c r="F10" s="343"/>
      <c r="G10" s="343"/>
      <c r="H10" s="343"/>
      <c r="I10" s="358"/>
      <c r="J10" s="38" t="str">
        <f>IF(AND('Mapa final'!$AA$33="Muy Alta",'Mapa final'!$AC$33="Leve"),CONCATENATE("R5C",'Mapa final'!$Q$33),"")</f>
        <v/>
      </c>
      <c r="K10" s="39" t="str">
        <f>IF(AND('Mapa final'!$AA$34="Muy Alta",'Mapa final'!$AC$34="Leve"),CONCATENATE("R5C",'Mapa final'!$Q$34),"")</f>
        <v/>
      </c>
      <c r="L10" s="44" t="str">
        <f>IF(AND('Mapa final'!$AA$35="Muy Alta",'Mapa final'!$AC$35="Leve"),CONCATENATE("R5C",'Mapa final'!$Q$35),"")</f>
        <v/>
      </c>
      <c r="M10" s="44" t="str">
        <f>IF(AND('Mapa final'!$AA$36="Muy Alta",'Mapa final'!$AC$36="Leve"),CONCATENATE("R5C",'Mapa final'!$Q$36),"")</f>
        <v/>
      </c>
      <c r="N10" s="44" t="str">
        <f>IF(AND('Mapa final'!$AA$37="Muy Alta",'Mapa final'!$AC$37="Leve"),CONCATENATE("R5C",'Mapa final'!$Q$37),"")</f>
        <v/>
      </c>
      <c r="O10" s="40" t="str">
        <f>IF(AND('Mapa final'!$AA$38="Muy Alta",'Mapa final'!$AC$38="Leve"),CONCATENATE("R5C",'Mapa final'!$Q$38),"")</f>
        <v/>
      </c>
      <c r="P10" s="38" t="str">
        <f>IF(AND('Mapa final'!$AA$33="Muy Alta",'Mapa final'!$AC$33="Menor"),CONCATENATE("R5C",'Mapa final'!$Q$33),"")</f>
        <v/>
      </c>
      <c r="Q10" s="39" t="str">
        <f>IF(AND('Mapa final'!$AA$34="Muy Alta",'Mapa final'!$AC$34="Menor"),CONCATENATE("R5C",'Mapa final'!$Q$34),"")</f>
        <v/>
      </c>
      <c r="R10" s="44" t="str">
        <f>IF(AND('Mapa final'!$AA$35="Muy Alta",'Mapa final'!$AC$35="Menor"),CONCATENATE("R5C",'Mapa final'!$Q$35),"")</f>
        <v/>
      </c>
      <c r="S10" s="44" t="str">
        <f>IF(AND('Mapa final'!$AA$36="Muy Alta",'Mapa final'!$AC$36="Menor"),CONCATENATE("R5C",'Mapa final'!$Q$36),"")</f>
        <v/>
      </c>
      <c r="T10" s="44" t="str">
        <f>IF(AND('Mapa final'!$AA$37="Muy Alta",'Mapa final'!$AC$37="Menor"),CONCATENATE("R5C",'Mapa final'!$Q$37),"")</f>
        <v/>
      </c>
      <c r="U10" s="40" t="str">
        <f>IF(AND('Mapa final'!$AA$38="Muy Alta",'Mapa final'!$AC$38="Menor"),CONCATENATE("R5C",'Mapa final'!$Q$38),"")</f>
        <v/>
      </c>
      <c r="V10" s="38" t="str">
        <f>IF(AND('Mapa final'!$AA$33="Muy Alta",'Mapa final'!$AC$33="Moderado"),CONCATENATE("R5C",'Mapa final'!$Q$33),"")</f>
        <v/>
      </c>
      <c r="W10" s="39" t="str">
        <f>IF(AND('Mapa final'!$AA$34="Muy Alta",'Mapa final'!$AC$34="Moderado"),CONCATENATE("R5C",'Mapa final'!$Q$34),"")</f>
        <v/>
      </c>
      <c r="X10" s="44" t="str">
        <f>IF(AND('Mapa final'!$AA$35="Muy Alta",'Mapa final'!$AC$35="Moderado"),CONCATENATE("R5C",'Mapa final'!$Q$35),"")</f>
        <v/>
      </c>
      <c r="Y10" s="44" t="str">
        <f>IF(AND('Mapa final'!$AA$36="Muy Alta",'Mapa final'!$AC$36="Moderado"),CONCATENATE("R5C",'Mapa final'!$Q$36),"")</f>
        <v/>
      </c>
      <c r="Z10" s="44" t="str">
        <f>IF(AND('Mapa final'!$AA$37="Muy Alta",'Mapa final'!$AC$37="Moderado"),CONCATENATE("R5C",'Mapa final'!$Q$37),"")</f>
        <v/>
      </c>
      <c r="AA10" s="40" t="str">
        <f>IF(AND('Mapa final'!$AA$38="Muy Alta",'Mapa final'!$AC$38="Moderado"),CONCATENATE("R5C",'Mapa final'!$Q$38),"")</f>
        <v/>
      </c>
      <c r="AB10" s="38" t="str">
        <f>IF(AND('Mapa final'!$AA$33="Muy Alta",'Mapa final'!$AC$33="Mayor"),CONCATENATE("R5C",'Mapa final'!$Q$33),"")</f>
        <v/>
      </c>
      <c r="AC10" s="39" t="str">
        <f>IF(AND('Mapa final'!$AA$34="Muy Alta",'Mapa final'!$AC$34="Mayor"),CONCATENATE("R5C",'Mapa final'!$Q$34),"")</f>
        <v/>
      </c>
      <c r="AD10" s="44" t="str">
        <f>IF(AND('Mapa final'!$AA$35="Muy Alta",'Mapa final'!$AC$35="Mayor"),CONCATENATE("R5C",'Mapa final'!$Q$35),"")</f>
        <v/>
      </c>
      <c r="AE10" s="44" t="str">
        <f>IF(AND('Mapa final'!$AA$36="Muy Alta",'Mapa final'!$AC$36="Mayor"),CONCATENATE("R5C",'Mapa final'!$Q$36),"")</f>
        <v/>
      </c>
      <c r="AF10" s="44" t="str">
        <f>IF(AND('Mapa final'!$AA$37="Muy Alta",'Mapa final'!$AC$37="Mayor"),CONCATENATE("R5C",'Mapa final'!$Q$37),"")</f>
        <v/>
      </c>
      <c r="AG10" s="40" t="str">
        <f>IF(AND('Mapa final'!$AA$38="Muy Alta",'Mapa final'!$AC$38="Mayor"),CONCATENATE("R5C",'Mapa final'!$Q$38),"")</f>
        <v/>
      </c>
      <c r="AH10" s="41" t="str">
        <f>IF(AND('Mapa final'!$AA$33="Muy Alta",'Mapa final'!$AC$33="Catastrófico"),CONCATENATE("R5C",'Mapa final'!$Q$33),"")</f>
        <v/>
      </c>
      <c r="AI10" s="42" t="str">
        <f>IF(AND('Mapa final'!$AA$34="Muy Alta",'Mapa final'!$AC$34="Catastrófico"),CONCATENATE("R5C",'Mapa final'!$Q$34),"")</f>
        <v/>
      </c>
      <c r="AJ10" s="42" t="str">
        <f>IF(AND('Mapa final'!$AA$35="Muy Alta",'Mapa final'!$AC$35="Catastrófico"),CONCATENATE("R5C",'Mapa final'!$Q$35),"")</f>
        <v/>
      </c>
      <c r="AK10" s="42" t="str">
        <f>IF(AND('Mapa final'!$AA$36="Muy Alta",'Mapa final'!$AC$36="Catastrófico"),CONCATENATE("R5C",'Mapa final'!$Q$36),"")</f>
        <v/>
      </c>
      <c r="AL10" s="42" t="str">
        <f>IF(AND('Mapa final'!$AA$37="Muy Alta",'Mapa final'!$AC$37="Catastrófico"),CONCATENATE("R5C",'Mapa final'!$Q$37),"")</f>
        <v/>
      </c>
      <c r="AM10" s="43" t="str">
        <f>IF(AND('Mapa final'!$AA$38="Muy Alta",'Mapa final'!$AC$38="Catastrófico"),CONCATENATE("R5C",'Mapa final'!$Q$38),"")</f>
        <v/>
      </c>
      <c r="AN10" s="70"/>
      <c r="AO10" s="349"/>
      <c r="AP10" s="350"/>
      <c r="AQ10" s="350"/>
      <c r="AR10" s="350"/>
      <c r="AS10" s="350"/>
      <c r="AT10" s="351"/>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41"/>
      <c r="C11" s="241"/>
      <c r="D11" s="242"/>
      <c r="E11" s="342"/>
      <c r="F11" s="343"/>
      <c r="G11" s="343"/>
      <c r="H11" s="343"/>
      <c r="I11" s="358"/>
      <c r="J11" s="38" t="str">
        <f>IF(AND('Mapa final'!$AA$39="Muy Alta",'Mapa final'!$AC$39="Leve"),CONCATENATE("R6C",'Mapa final'!$Q$39),"")</f>
        <v/>
      </c>
      <c r="K11" s="39" t="str">
        <f>IF(AND('Mapa final'!$AA$40="Muy Alta",'Mapa final'!$AC$40="Leve"),CONCATENATE("R6C",'Mapa final'!$Q$40),"")</f>
        <v/>
      </c>
      <c r="L11" s="44" t="str">
        <f>IF(AND('Mapa final'!$AA$41="Muy Alta",'Mapa final'!$AC$41="Leve"),CONCATENATE("R6C",'Mapa final'!$Q$41),"")</f>
        <v/>
      </c>
      <c r="M11" s="44" t="str">
        <f>IF(AND('Mapa final'!$AA$42="Muy Alta",'Mapa final'!$AC$42="Leve"),CONCATENATE("R6C",'Mapa final'!$Q$42),"")</f>
        <v/>
      </c>
      <c r="N11" s="44" t="str">
        <f>IF(AND('Mapa final'!$AA$43="Muy Alta",'Mapa final'!$AC$43="Leve"),CONCATENATE("R6C",'Mapa final'!$Q$43),"")</f>
        <v/>
      </c>
      <c r="O11" s="40" t="str">
        <f>IF(AND('Mapa final'!$AA$44="Muy Alta",'Mapa final'!$AC$44="Leve"),CONCATENATE("R6C",'Mapa final'!$Q$44),"")</f>
        <v/>
      </c>
      <c r="P11" s="38" t="str">
        <f>IF(AND('Mapa final'!$AA$39="Muy Alta",'Mapa final'!$AC$39="Menor"),CONCATENATE("R6C",'Mapa final'!$Q$39),"")</f>
        <v/>
      </c>
      <c r="Q11" s="39" t="str">
        <f>IF(AND('Mapa final'!$AA$40="Muy Alta",'Mapa final'!$AC$40="Menor"),CONCATENATE("R6C",'Mapa final'!$Q$40),"")</f>
        <v/>
      </c>
      <c r="R11" s="44" t="str">
        <f>IF(AND('Mapa final'!$AA$41="Muy Alta",'Mapa final'!$AC$41="Menor"),CONCATENATE("R6C",'Mapa final'!$Q$41),"")</f>
        <v/>
      </c>
      <c r="S11" s="44" t="str">
        <f>IF(AND('Mapa final'!$AA$42="Muy Alta",'Mapa final'!$AC$42="Menor"),CONCATENATE("R6C",'Mapa final'!$Q$42),"")</f>
        <v/>
      </c>
      <c r="T11" s="44" t="str">
        <f>IF(AND('Mapa final'!$AA$43="Muy Alta",'Mapa final'!$AC$43="Menor"),CONCATENATE("R6C",'Mapa final'!$Q$43),"")</f>
        <v/>
      </c>
      <c r="U11" s="40" t="str">
        <f>IF(AND('Mapa final'!$AA$44="Muy Alta",'Mapa final'!$AC$44="Menor"),CONCATENATE("R6C",'Mapa final'!$Q$44),"")</f>
        <v/>
      </c>
      <c r="V11" s="38" t="str">
        <f>IF(AND('Mapa final'!$AA$39="Muy Alta",'Mapa final'!$AC$39="Moderado"),CONCATENATE("R6C",'Mapa final'!$Q$39),"")</f>
        <v/>
      </c>
      <c r="W11" s="39" t="str">
        <f>IF(AND('Mapa final'!$AA$40="Muy Alta",'Mapa final'!$AC$40="Moderado"),CONCATENATE("R6C",'Mapa final'!$Q$40),"")</f>
        <v/>
      </c>
      <c r="X11" s="44" t="str">
        <f>IF(AND('Mapa final'!$AA$41="Muy Alta",'Mapa final'!$AC$41="Moderado"),CONCATENATE("R6C",'Mapa final'!$Q$41),"")</f>
        <v/>
      </c>
      <c r="Y11" s="44" t="str">
        <f>IF(AND('Mapa final'!$AA$42="Muy Alta",'Mapa final'!$AC$42="Moderado"),CONCATENATE("R6C",'Mapa final'!$Q$42),"")</f>
        <v/>
      </c>
      <c r="Z11" s="44" t="str">
        <f>IF(AND('Mapa final'!$AA$43="Muy Alta",'Mapa final'!$AC$43="Moderado"),CONCATENATE("R6C",'Mapa final'!$Q$43),"")</f>
        <v/>
      </c>
      <c r="AA11" s="40" t="str">
        <f>IF(AND('Mapa final'!$AA$44="Muy Alta",'Mapa final'!$AC$44="Moderado"),CONCATENATE("R6C",'Mapa final'!$Q$44),"")</f>
        <v/>
      </c>
      <c r="AB11" s="38" t="str">
        <f>IF(AND('Mapa final'!$AA$39="Muy Alta",'Mapa final'!$AC$39="Mayor"),CONCATENATE("R6C",'Mapa final'!$Q$39),"")</f>
        <v/>
      </c>
      <c r="AC11" s="39" t="str">
        <f>IF(AND('Mapa final'!$AA$40="Muy Alta",'Mapa final'!$AC$40="Mayor"),CONCATENATE("R6C",'Mapa final'!$Q$40),"")</f>
        <v/>
      </c>
      <c r="AD11" s="44" t="str">
        <f>IF(AND('Mapa final'!$AA$41="Muy Alta",'Mapa final'!$AC$41="Mayor"),CONCATENATE("R6C",'Mapa final'!$Q$41),"")</f>
        <v/>
      </c>
      <c r="AE11" s="44" t="str">
        <f>IF(AND('Mapa final'!$AA$42="Muy Alta",'Mapa final'!$AC$42="Mayor"),CONCATENATE("R6C",'Mapa final'!$Q$42),"")</f>
        <v/>
      </c>
      <c r="AF11" s="44" t="str">
        <f>IF(AND('Mapa final'!$AA$43="Muy Alta",'Mapa final'!$AC$43="Mayor"),CONCATENATE("R6C",'Mapa final'!$Q$43),"")</f>
        <v/>
      </c>
      <c r="AG11" s="40" t="str">
        <f>IF(AND('Mapa final'!$AA$44="Muy Alta",'Mapa final'!$AC$44="Mayor"),CONCATENATE("R6C",'Mapa final'!$Q$44),"")</f>
        <v/>
      </c>
      <c r="AH11" s="41" t="str">
        <f>IF(AND('Mapa final'!$AA$39="Muy Alta",'Mapa final'!$AC$39="Catastrófico"),CONCATENATE("R6C",'Mapa final'!$Q$39),"")</f>
        <v/>
      </c>
      <c r="AI11" s="42" t="str">
        <f>IF(AND('Mapa final'!$AA$40="Muy Alta",'Mapa final'!$AC$40="Catastrófico"),CONCATENATE("R6C",'Mapa final'!$Q$40),"")</f>
        <v/>
      </c>
      <c r="AJ11" s="42" t="str">
        <f>IF(AND('Mapa final'!$AA$41="Muy Alta",'Mapa final'!$AC$41="Catastrófico"),CONCATENATE("R6C",'Mapa final'!$Q$41),"")</f>
        <v/>
      </c>
      <c r="AK11" s="42" t="str">
        <f>IF(AND('Mapa final'!$AA$42="Muy Alta",'Mapa final'!$AC$42="Catastrófico"),CONCATENATE("R6C",'Mapa final'!$Q$42),"")</f>
        <v/>
      </c>
      <c r="AL11" s="42" t="str">
        <f>IF(AND('Mapa final'!$AA$43="Muy Alta",'Mapa final'!$AC$43="Catastrófico"),CONCATENATE("R6C",'Mapa final'!$Q$43),"")</f>
        <v/>
      </c>
      <c r="AM11" s="43" t="str">
        <f>IF(AND('Mapa final'!$AA$44="Muy Alta",'Mapa final'!$AC$44="Catastrófico"),CONCATENATE("R6C",'Mapa final'!$Q$44),"")</f>
        <v/>
      </c>
      <c r="AN11" s="70"/>
      <c r="AO11" s="349"/>
      <c r="AP11" s="350"/>
      <c r="AQ11" s="350"/>
      <c r="AR11" s="350"/>
      <c r="AS11" s="350"/>
      <c r="AT11" s="351"/>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41"/>
      <c r="C12" s="241"/>
      <c r="D12" s="242"/>
      <c r="E12" s="342"/>
      <c r="F12" s="343"/>
      <c r="G12" s="343"/>
      <c r="H12" s="343"/>
      <c r="I12" s="358"/>
      <c r="J12" s="38" t="str">
        <f>IF(AND('Mapa final'!$AA$45="Muy Alta",'Mapa final'!$AC$45="Leve"),CONCATENATE("R7C",'Mapa final'!$Q$45),"")</f>
        <v/>
      </c>
      <c r="K12" s="39" t="str">
        <f>IF(AND('Mapa final'!$AA$46="Muy Alta",'Mapa final'!$AC$46="Leve"),CONCATENATE("R7C",'Mapa final'!$Q$46),"")</f>
        <v/>
      </c>
      <c r="L12" s="44" t="str">
        <f>IF(AND('Mapa final'!$AA$47="Muy Alta",'Mapa final'!$AC$47="Leve"),CONCATENATE("R7C",'Mapa final'!$Q$47),"")</f>
        <v/>
      </c>
      <c r="M12" s="44" t="str">
        <f>IF(AND('Mapa final'!$AA$48="Muy Alta",'Mapa final'!$AC$48="Leve"),CONCATENATE("R7C",'Mapa final'!$Q$48),"")</f>
        <v/>
      </c>
      <c r="N12" s="44" t="str">
        <f>IF(AND('Mapa final'!$AA$49="Muy Alta",'Mapa final'!$AC$49="Leve"),CONCATENATE("R7C",'Mapa final'!$Q$49),"")</f>
        <v/>
      </c>
      <c r="O12" s="40" t="str">
        <f>IF(AND('Mapa final'!$AA$50="Muy Alta",'Mapa final'!$AC$50="Leve"),CONCATENATE("R7C",'Mapa final'!$Q$50),"")</f>
        <v/>
      </c>
      <c r="P12" s="38" t="str">
        <f>IF(AND('Mapa final'!$AA$45="Muy Alta",'Mapa final'!$AC$45="Menor"),CONCATENATE("R7C",'Mapa final'!$Q$45),"")</f>
        <v/>
      </c>
      <c r="Q12" s="39" t="str">
        <f>IF(AND('Mapa final'!$AA$46="Muy Alta",'Mapa final'!$AC$46="Menor"),CONCATENATE("R7C",'Mapa final'!$Q$46),"")</f>
        <v/>
      </c>
      <c r="R12" s="44" t="str">
        <f>IF(AND('Mapa final'!$AA$47="Muy Alta",'Mapa final'!$AC$47="Menor"),CONCATENATE("R7C",'Mapa final'!$Q$47),"")</f>
        <v/>
      </c>
      <c r="S12" s="44" t="str">
        <f>IF(AND('Mapa final'!$AA$48="Muy Alta",'Mapa final'!$AC$48="Menor"),CONCATENATE("R7C",'Mapa final'!$Q$48),"")</f>
        <v/>
      </c>
      <c r="T12" s="44" t="str">
        <f>IF(AND('Mapa final'!$AA$49="Muy Alta",'Mapa final'!$AC$49="Menor"),CONCATENATE("R7C",'Mapa final'!$Q$49),"")</f>
        <v/>
      </c>
      <c r="U12" s="40" t="str">
        <f>IF(AND('Mapa final'!$AA$50="Muy Alta",'Mapa final'!$AC$50="Menor"),CONCATENATE("R7C",'Mapa final'!$Q$50),"")</f>
        <v/>
      </c>
      <c r="V12" s="38" t="str">
        <f>IF(AND('Mapa final'!$AA$45="Muy Alta",'Mapa final'!$AC$45="Moderado"),CONCATENATE("R7C",'Mapa final'!$Q$45),"")</f>
        <v/>
      </c>
      <c r="W12" s="39" t="str">
        <f>IF(AND('Mapa final'!$AA$46="Muy Alta",'Mapa final'!$AC$46="Moderado"),CONCATENATE("R7C",'Mapa final'!$Q$46),"")</f>
        <v/>
      </c>
      <c r="X12" s="44" t="str">
        <f>IF(AND('Mapa final'!$AA$47="Muy Alta",'Mapa final'!$AC$47="Moderado"),CONCATENATE("R7C",'Mapa final'!$Q$47),"")</f>
        <v/>
      </c>
      <c r="Y12" s="44" t="str">
        <f>IF(AND('Mapa final'!$AA$48="Muy Alta",'Mapa final'!$AC$48="Moderado"),CONCATENATE("R7C",'Mapa final'!$Q$48),"")</f>
        <v/>
      </c>
      <c r="Z12" s="44" t="str">
        <f>IF(AND('Mapa final'!$AA$49="Muy Alta",'Mapa final'!$AC$49="Moderado"),CONCATENATE("R7C",'Mapa final'!$Q$49),"")</f>
        <v/>
      </c>
      <c r="AA12" s="40" t="str">
        <f>IF(AND('Mapa final'!$AA$50="Muy Alta",'Mapa final'!$AC$50="Moderado"),CONCATENATE("R7C",'Mapa final'!$Q$50),"")</f>
        <v/>
      </c>
      <c r="AB12" s="38" t="str">
        <f>IF(AND('Mapa final'!$AA$45="Muy Alta",'Mapa final'!$AC$45="Mayor"),CONCATENATE("R7C",'Mapa final'!$Q$45),"")</f>
        <v/>
      </c>
      <c r="AC12" s="39" t="str">
        <f>IF(AND('Mapa final'!$AA$46="Muy Alta",'Mapa final'!$AC$46="Mayor"),CONCATENATE("R7C",'Mapa final'!$Q$46),"")</f>
        <v/>
      </c>
      <c r="AD12" s="44" t="str">
        <f>IF(AND('Mapa final'!$AA$47="Muy Alta",'Mapa final'!$AC$47="Mayor"),CONCATENATE("R7C",'Mapa final'!$Q$47),"")</f>
        <v/>
      </c>
      <c r="AE12" s="44" t="str">
        <f>IF(AND('Mapa final'!$AA$48="Muy Alta",'Mapa final'!$AC$48="Mayor"),CONCATENATE("R7C",'Mapa final'!$Q$48),"")</f>
        <v/>
      </c>
      <c r="AF12" s="44" t="str">
        <f>IF(AND('Mapa final'!$AA$49="Muy Alta",'Mapa final'!$AC$49="Mayor"),CONCATENATE("R7C",'Mapa final'!$Q$49),"")</f>
        <v/>
      </c>
      <c r="AG12" s="40" t="str">
        <f>IF(AND('Mapa final'!$AA$50="Muy Alta",'Mapa final'!$AC$50="Mayor"),CONCATENATE("R7C",'Mapa final'!$Q$50),"")</f>
        <v/>
      </c>
      <c r="AH12" s="41" t="str">
        <f>IF(AND('Mapa final'!$AA$45="Muy Alta",'Mapa final'!$AC$45="Catastrófico"),CONCATENATE("R7C",'Mapa final'!$Q$45),"")</f>
        <v/>
      </c>
      <c r="AI12" s="42" t="str">
        <f>IF(AND('Mapa final'!$AA$46="Muy Alta",'Mapa final'!$AC$46="Catastrófico"),CONCATENATE("R7C",'Mapa final'!$Q$46),"")</f>
        <v/>
      </c>
      <c r="AJ12" s="42" t="str">
        <f>IF(AND('Mapa final'!$AA$47="Muy Alta",'Mapa final'!$AC$47="Catastrófico"),CONCATENATE("R7C",'Mapa final'!$Q$47),"")</f>
        <v/>
      </c>
      <c r="AK12" s="42" t="str">
        <f>IF(AND('Mapa final'!$AA$48="Muy Alta",'Mapa final'!$AC$48="Catastrófico"),CONCATENATE("R7C",'Mapa final'!$Q$48),"")</f>
        <v/>
      </c>
      <c r="AL12" s="42" t="str">
        <f>IF(AND('Mapa final'!$AA$49="Muy Alta",'Mapa final'!$AC$49="Catastrófico"),CONCATENATE("R7C",'Mapa final'!$Q$49),"")</f>
        <v/>
      </c>
      <c r="AM12" s="43" t="str">
        <f>IF(AND('Mapa final'!$AA$50="Muy Alta",'Mapa final'!$AC$50="Catastrófico"),CONCATENATE("R7C",'Mapa final'!$Q$50),"")</f>
        <v/>
      </c>
      <c r="AN12" s="70"/>
      <c r="AO12" s="349"/>
      <c r="AP12" s="350"/>
      <c r="AQ12" s="350"/>
      <c r="AR12" s="350"/>
      <c r="AS12" s="350"/>
      <c r="AT12" s="351"/>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41"/>
      <c r="C13" s="241"/>
      <c r="D13" s="242"/>
      <c r="E13" s="342"/>
      <c r="F13" s="343"/>
      <c r="G13" s="343"/>
      <c r="H13" s="343"/>
      <c r="I13" s="358"/>
      <c r="J13" s="38" t="str">
        <f>IF(AND('Mapa final'!$AA$51="Muy Alta",'Mapa final'!$AC$51="Leve"),CONCATENATE("R8C",'Mapa final'!$Q$51),"")</f>
        <v/>
      </c>
      <c r="K13" s="39" t="str">
        <f>IF(AND('Mapa final'!$AA$52="Muy Alta",'Mapa final'!$AC$52="Leve"),CONCATENATE("R8C",'Mapa final'!$Q$52),"")</f>
        <v/>
      </c>
      <c r="L13" s="44" t="str">
        <f>IF(AND('Mapa final'!$AA$53="Muy Alta",'Mapa final'!$AC$53="Leve"),CONCATENATE("R8C",'Mapa final'!$Q$53),"")</f>
        <v/>
      </c>
      <c r="M13" s="44" t="str">
        <f>IF(AND('Mapa final'!$AA$54="Muy Alta",'Mapa final'!$AC$54="Leve"),CONCATENATE("R8C",'Mapa final'!$Q$54),"")</f>
        <v/>
      </c>
      <c r="N13" s="44" t="str">
        <f>IF(AND('Mapa final'!$AA$55="Muy Alta",'Mapa final'!$AC$55="Leve"),CONCATENATE("R8C",'Mapa final'!$Q$55),"")</f>
        <v/>
      </c>
      <c r="O13" s="40" t="str">
        <f>IF(AND('Mapa final'!$AA$56="Muy Alta",'Mapa final'!$AC$56="Leve"),CONCATENATE("R8C",'Mapa final'!$Q$56),"")</f>
        <v/>
      </c>
      <c r="P13" s="38" t="str">
        <f>IF(AND('Mapa final'!$AA$51="Muy Alta",'Mapa final'!$AC$51="Menor"),CONCATENATE("R8C",'Mapa final'!$Q$51),"")</f>
        <v/>
      </c>
      <c r="Q13" s="39" t="str">
        <f>IF(AND('Mapa final'!$AA$52="Muy Alta",'Mapa final'!$AC$52="Menor"),CONCATENATE("R8C",'Mapa final'!$Q$52),"")</f>
        <v/>
      </c>
      <c r="R13" s="44" t="str">
        <f>IF(AND('Mapa final'!$AA$53="Muy Alta",'Mapa final'!$AC$53="Menor"),CONCATENATE("R8C",'Mapa final'!$Q$53),"")</f>
        <v/>
      </c>
      <c r="S13" s="44" t="str">
        <f>IF(AND('Mapa final'!$AA$54="Muy Alta",'Mapa final'!$AC$54="Menor"),CONCATENATE("R8C",'Mapa final'!$Q$54),"")</f>
        <v/>
      </c>
      <c r="T13" s="44" t="str">
        <f>IF(AND('Mapa final'!$AA$55="Muy Alta",'Mapa final'!$AC$55="Menor"),CONCATENATE("R8C",'Mapa final'!$Q$55),"")</f>
        <v/>
      </c>
      <c r="U13" s="40" t="str">
        <f>IF(AND('Mapa final'!$AA$56="Muy Alta",'Mapa final'!$AC$56="Menor"),CONCATENATE("R8C",'Mapa final'!$Q$56),"")</f>
        <v/>
      </c>
      <c r="V13" s="38" t="str">
        <f>IF(AND('Mapa final'!$AA$51="Muy Alta",'Mapa final'!$AC$51="Moderado"),CONCATENATE("R8C",'Mapa final'!$Q$51),"")</f>
        <v/>
      </c>
      <c r="W13" s="39" t="str">
        <f>IF(AND('Mapa final'!$AA$52="Muy Alta",'Mapa final'!$AC$52="Moderado"),CONCATENATE("R8C",'Mapa final'!$Q$52),"")</f>
        <v/>
      </c>
      <c r="X13" s="44" t="str">
        <f>IF(AND('Mapa final'!$AA$53="Muy Alta",'Mapa final'!$AC$53="Moderado"),CONCATENATE("R8C",'Mapa final'!$Q$53),"")</f>
        <v/>
      </c>
      <c r="Y13" s="44" t="str">
        <f>IF(AND('Mapa final'!$AA$54="Muy Alta",'Mapa final'!$AC$54="Moderado"),CONCATENATE("R8C",'Mapa final'!$Q$54),"")</f>
        <v/>
      </c>
      <c r="Z13" s="44" t="str">
        <f>IF(AND('Mapa final'!$AA$55="Muy Alta",'Mapa final'!$AC$55="Moderado"),CONCATENATE("R8C",'Mapa final'!$Q$55),"")</f>
        <v/>
      </c>
      <c r="AA13" s="40" t="str">
        <f>IF(AND('Mapa final'!$AA$56="Muy Alta",'Mapa final'!$AC$56="Moderado"),CONCATENATE("R8C",'Mapa final'!$Q$56),"")</f>
        <v/>
      </c>
      <c r="AB13" s="38" t="str">
        <f>IF(AND('Mapa final'!$AA$51="Muy Alta",'Mapa final'!$AC$51="Mayor"),CONCATENATE("R8C",'Mapa final'!$Q$51),"")</f>
        <v/>
      </c>
      <c r="AC13" s="39" t="str">
        <f>IF(AND('Mapa final'!$AA$52="Muy Alta",'Mapa final'!$AC$52="Mayor"),CONCATENATE("R8C",'Mapa final'!$Q$52),"")</f>
        <v/>
      </c>
      <c r="AD13" s="44" t="str">
        <f>IF(AND('Mapa final'!$AA$53="Muy Alta",'Mapa final'!$AC$53="Mayor"),CONCATENATE("R8C",'Mapa final'!$Q$53),"")</f>
        <v/>
      </c>
      <c r="AE13" s="44" t="str">
        <f>IF(AND('Mapa final'!$AA$54="Muy Alta",'Mapa final'!$AC$54="Mayor"),CONCATENATE("R8C",'Mapa final'!$Q$54),"")</f>
        <v/>
      </c>
      <c r="AF13" s="44" t="str">
        <f>IF(AND('Mapa final'!$AA$55="Muy Alta",'Mapa final'!$AC$55="Mayor"),CONCATENATE("R8C",'Mapa final'!$Q$55),"")</f>
        <v/>
      </c>
      <c r="AG13" s="40" t="str">
        <f>IF(AND('Mapa final'!$AA$56="Muy Alta",'Mapa final'!$AC$56="Mayor"),CONCATENATE("R8C",'Mapa final'!$Q$56),"")</f>
        <v/>
      </c>
      <c r="AH13" s="41" t="str">
        <f>IF(AND('Mapa final'!$AA$51="Muy Alta",'Mapa final'!$AC$51="Catastrófico"),CONCATENATE("R8C",'Mapa final'!$Q$51),"")</f>
        <v/>
      </c>
      <c r="AI13" s="42" t="str">
        <f>IF(AND('Mapa final'!$AA$52="Muy Alta",'Mapa final'!$AC$52="Catastrófico"),CONCATENATE("R8C",'Mapa final'!$Q$52),"")</f>
        <v/>
      </c>
      <c r="AJ13" s="42" t="str">
        <f>IF(AND('Mapa final'!$AA$53="Muy Alta",'Mapa final'!$AC$53="Catastrófico"),CONCATENATE("R8C",'Mapa final'!$Q$53),"")</f>
        <v/>
      </c>
      <c r="AK13" s="42" t="str">
        <f>IF(AND('Mapa final'!$AA$54="Muy Alta",'Mapa final'!$AC$54="Catastrófico"),CONCATENATE("R8C",'Mapa final'!$Q$54),"")</f>
        <v/>
      </c>
      <c r="AL13" s="42" t="str">
        <f>IF(AND('Mapa final'!$AA$55="Muy Alta",'Mapa final'!$AC$55="Catastrófico"),CONCATENATE("R8C",'Mapa final'!$Q$55),"")</f>
        <v/>
      </c>
      <c r="AM13" s="43" t="str">
        <f>IF(AND('Mapa final'!$AA$56="Muy Alta",'Mapa final'!$AC$56="Catastrófico"),CONCATENATE("R8C",'Mapa final'!$Q$56),"")</f>
        <v/>
      </c>
      <c r="AN13" s="70"/>
      <c r="AO13" s="349"/>
      <c r="AP13" s="350"/>
      <c r="AQ13" s="350"/>
      <c r="AR13" s="350"/>
      <c r="AS13" s="350"/>
      <c r="AT13" s="351"/>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41"/>
      <c r="C14" s="241"/>
      <c r="D14" s="242"/>
      <c r="E14" s="342"/>
      <c r="F14" s="343"/>
      <c r="G14" s="343"/>
      <c r="H14" s="343"/>
      <c r="I14" s="358"/>
      <c r="J14" s="38" t="str">
        <f>IF(AND('Mapa final'!$AA$57="Muy Alta",'Mapa final'!$AC$57="Leve"),CONCATENATE("R9C",'Mapa final'!$Q$57),"")</f>
        <v/>
      </c>
      <c r="K14" s="39" t="str">
        <f>IF(AND('Mapa final'!$AA$58="Muy Alta",'Mapa final'!$AC$58="Leve"),CONCATENATE("R9C",'Mapa final'!$Q$58),"")</f>
        <v/>
      </c>
      <c r="L14" s="44" t="str">
        <f>IF(AND('Mapa final'!$AA$59="Muy Alta",'Mapa final'!$AC$59="Leve"),CONCATENATE("R9C",'Mapa final'!$Q$59),"")</f>
        <v/>
      </c>
      <c r="M14" s="44" t="str">
        <f>IF(AND('Mapa final'!$AA$60="Muy Alta",'Mapa final'!$AC$60="Leve"),CONCATENATE("R9C",'Mapa final'!$Q$60),"")</f>
        <v/>
      </c>
      <c r="N14" s="44" t="str">
        <f>IF(AND('Mapa final'!$AA$61="Muy Alta",'Mapa final'!$AC$61="Leve"),CONCATENATE("R9C",'Mapa final'!$Q$61),"")</f>
        <v/>
      </c>
      <c r="O14" s="40" t="str">
        <f>IF(AND('Mapa final'!$AA$62="Muy Alta",'Mapa final'!$AC$62="Leve"),CONCATENATE("R9C",'Mapa final'!$Q$62),"")</f>
        <v/>
      </c>
      <c r="P14" s="38" t="str">
        <f>IF(AND('Mapa final'!$AA$57="Muy Alta",'Mapa final'!$AC$57="Menor"),CONCATENATE("R9C",'Mapa final'!$Q$57),"")</f>
        <v/>
      </c>
      <c r="Q14" s="39" t="str">
        <f>IF(AND('Mapa final'!$AA$58="Muy Alta",'Mapa final'!$AC$58="Menor"),CONCATENATE("R9C",'Mapa final'!$Q$58),"")</f>
        <v/>
      </c>
      <c r="R14" s="44" t="str">
        <f>IF(AND('Mapa final'!$AA$59="Muy Alta",'Mapa final'!$AC$59="Menor"),CONCATENATE("R9C",'Mapa final'!$Q$59),"")</f>
        <v/>
      </c>
      <c r="S14" s="44" t="str">
        <f>IF(AND('Mapa final'!$AA$60="Muy Alta",'Mapa final'!$AC$60="Menor"),CONCATENATE("R9C",'Mapa final'!$Q$60),"")</f>
        <v/>
      </c>
      <c r="T14" s="44" t="str">
        <f>IF(AND('Mapa final'!$AA$61="Muy Alta",'Mapa final'!$AC$61="Menor"),CONCATENATE("R9C",'Mapa final'!$Q$61),"")</f>
        <v/>
      </c>
      <c r="U14" s="40" t="str">
        <f>IF(AND('Mapa final'!$AA$62="Muy Alta",'Mapa final'!$AC$62="Menor"),CONCATENATE("R9C",'Mapa final'!$Q$62),"")</f>
        <v/>
      </c>
      <c r="V14" s="38" t="str">
        <f>IF(AND('Mapa final'!$AA$57="Muy Alta",'Mapa final'!$AC$57="Moderado"),CONCATENATE("R9C",'Mapa final'!$Q$57),"")</f>
        <v/>
      </c>
      <c r="W14" s="39" t="str">
        <f>IF(AND('Mapa final'!$AA$58="Muy Alta",'Mapa final'!$AC$58="Moderado"),CONCATENATE("R9C",'Mapa final'!$Q$58),"")</f>
        <v/>
      </c>
      <c r="X14" s="44" t="str">
        <f>IF(AND('Mapa final'!$AA$59="Muy Alta",'Mapa final'!$AC$59="Moderado"),CONCATENATE("R9C",'Mapa final'!$Q$59),"")</f>
        <v/>
      </c>
      <c r="Y14" s="44" t="str">
        <f>IF(AND('Mapa final'!$AA$60="Muy Alta",'Mapa final'!$AC$60="Moderado"),CONCATENATE("R9C",'Mapa final'!$Q$60),"")</f>
        <v/>
      </c>
      <c r="Z14" s="44" t="str">
        <f>IF(AND('Mapa final'!$AA$61="Muy Alta",'Mapa final'!$AC$61="Moderado"),CONCATENATE("R9C",'Mapa final'!$Q$61),"")</f>
        <v/>
      </c>
      <c r="AA14" s="40" t="str">
        <f>IF(AND('Mapa final'!$AA$62="Muy Alta",'Mapa final'!$AC$62="Moderado"),CONCATENATE("R9C",'Mapa final'!$Q$62),"")</f>
        <v/>
      </c>
      <c r="AB14" s="38" t="str">
        <f>IF(AND('Mapa final'!$AA$57="Muy Alta",'Mapa final'!$AC$57="Mayor"),CONCATENATE("R9C",'Mapa final'!$Q$57),"")</f>
        <v/>
      </c>
      <c r="AC14" s="39" t="str">
        <f>IF(AND('Mapa final'!$AA$58="Muy Alta",'Mapa final'!$AC$58="Mayor"),CONCATENATE("R9C",'Mapa final'!$Q$58),"")</f>
        <v/>
      </c>
      <c r="AD14" s="44" t="str">
        <f>IF(AND('Mapa final'!$AA$59="Muy Alta",'Mapa final'!$AC$59="Mayor"),CONCATENATE("R9C",'Mapa final'!$Q$59),"")</f>
        <v/>
      </c>
      <c r="AE14" s="44" t="str">
        <f>IF(AND('Mapa final'!$AA$60="Muy Alta",'Mapa final'!$AC$60="Mayor"),CONCATENATE("R9C",'Mapa final'!$Q$60),"")</f>
        <v/>
      </c>
      <c r="AF14" s="44" t="str">
        <f>IF(AND('Mapa final'!$AA$61="Muy Alta",'Mapa final'!$AC$61="Mayor"),CONCATENATE("R9C",'Mapa final'!$Q$61),"")</f>
        <v/>
      </c>
      <c r="AG14" s="40" t="str">
        <f>IF(AND('Mapa final'!$AA$62="Muy Alta",'Mapa final'!$AC$62="Mayor"),CONCATENATE("R9C",'Mapa final'!$Q$62),"")</f>
        <v/>
      </c>
      <c r="AH14" s="41" t="str">
        <f>IF(AND('Mapa final'!$AA$57="Muy Alta",'Mapa final'!$AC$57="Catastrófico"),CONCATENATE("R9C",'Mapa final'!$Q$57),"")</f>
        <v/>
      </c>
      <c r="AI14" s="42" t="str">
        <f>IF(AND('Mapa final'!$AA$58="Muy Alta",'Mapa final'!$AC$58="Catastrófico"),CONCATENATE("R9C",'Mapa final'!$Q$58),"")</f>
        <v/>
      </c>
      <c r="AJ14" s="42" t="str">
        <f>IF(AND('Mapa final'!$AA$59="Muy Alta",'Mapa final'!$AC$59="Catastrófico"),CONCATENATE("R9C",'Mapa final'!$Q$59),"")</f>
        <v/>
      </c>
      <c r="AK14" s="42" t="str">
        <f>IF(AND('Mapa final'!$AA$60="Muy Alta",'Mapa final'!$AC$60="Catastrófico"),CONCATENATE("R9C",'Mapa final'!$Q$60),"")</f>
        <v/>
      </c>
      <c r="AL14" s="42" t="str">
        <f>IF(AND('Mapa final'!$AA$61="Muy Alta",'Mapa final'!$AC$61="Catastrófico"),CONCATENATE("R9C",'Mapa final'!$Q$61),"")</f>
        <v/>
      </c>
      <c r="AM14" s="43" t="str">
        <f>IF(AND('Mapa final'!$AA$62="Muy Alta",'Mapa final'!$AC$62="Catastrófico"),CONCATENATE("R9C",'Mapa final'!$Q$62),"")</f>
        <v/>
      </c>
      <c r="AN14" s="70"/>
      <c r="AO14" s="349"/>
      <c r="AP14" s="350"/>
      <c r="AQ14" s="350"/>
      <c r="AR14" s="350"/>
      <c r="AS14" s="350"/>
      <c r="AT14" s="351"/>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41"/>
      <c r="C15" s="241"/>
      <c r="D15" s="242"/>
      <c r="E15" s="344"/>
      <c r="F15" s="345"/>
      <c r="G15" s="345"/>
      <c r="H15" s="345"/>
      <c r="I15" s="359"/>
      <c r="J15" s="45" t="str">
        <f>IF(AND('Mapa final'!$AA$63="Muy Alta",'Mapa final'!$AC$63="Leve"),CONCATENATE("R10C",'Mapa final'!$Q$63),"")</f>
        <v/>
      </c>
      <c r="K15" s="46" t="str">
        <f>IF(AND('Mapa final'!$AA$64="Muy Alta",'Mapa final'!$AC$64="Leve"),CONCATENATE("R10C",'Mapa final'!$Q$64),"")</f>
        <v/>
      </c>
      <c r="L15" s="46" t="str">
        <f>IF(AND('Mapa final'!$AA$65="Muy Alta",'Mapa final'!$AC$65="Leve"),CONCATENATE("R10C",'Mapa final'!$Q$65),"")</f>
        <v/>
      </c>
      <c r="M15" s="46" t="str">
        <f>IF(AND('Mapa final'!$AA$66="Muy Alta",'Mapa final'!$AC$66="Leve"),CONCATENATE("R10C",'Mapa final'!$Q$66),"")</f>
        <v/>
      </c>
      <c r="N15" s="46" t="str">
        <f>IF(AND('Mapa final'!$AA$67="Muy Alta",'Mapa final'!$AC$67="Leve"),CONCATENATE("R10C",'Mapa final'!$Q$67),"")</f>
        <v/>
      </c>
      <c r="O15" s="47" t="str">
        <f>IF(AND('Mapa final'!$AA$68="Muy Alta",'Mapa final'!$AC$68="Leve"),CONCATENATE("R10C",'Mapa final'!$Q$68),"")</f>
        <v/>
      </c>
      <c r="P15" s="38" t="str">
        <f>IF(AND('Mapa final'!$AA$63="Muy Alta",'Mapa final'!$AC$63="Menor"),CONCATENATE("R10C",'Mapa final'!$Q$63),"")</f>
        <v/>
      </c>
      <c r="Q15" s="39" t="str">
        <f>IF(AND('Mapa final'!$AA$64="Muy Alta",'Mapa final'!$AC$64="Menor"),CONCATENATE("R10C",'Mapa final'!$Q$64),"")</f>
        <v/>
      </c>
      <c r="R15" s="39" t="str">
        <f>IF(AND('Mapa final'!$AA$65="Muy Alta",'Mapa final'!$AC$65="Menor"),CONCATENATE("R10C",'Mapa final'!$Q$65),"")</f>
        <v/>
      </c>
      <c r="S15" s="39" t="str">
        <f>IF(AND('Mapa final'!$AA$66="Muy Alta",'Mapa final'!$AC$66="Menor"),CONCATENATE("R10C",'Mapa final'!$Q$66),"")</f>
        <v/>
      </c>
      <c r="T15" s="39" t="str">
        <f>IF(AND('Mapa final'!$AA$67="Muy Alta",'Mapa final'!$AC$67="Menor"),CONCATENATE("R10C",'Mapa final'!$Q$67),"")</f>
        <v/>
      </c>
      <c r="U15" s="40" t="str">
        <f>IF(AND('Mapa final'!$AA$68="Muy Alta",'Mapa final'!$AC$68="Menor"),CONCATENATE("R10C",'Mapa final'!$Q$68),"")</f>
        <v/>
      </c>
      <c r="V15" s="45" t="str">
        <f>IF(AND('Mapa final'!$AA$63="Muy Alta",'Mapa final'!$AC$63="Moderado"),CONCATENATE("R10C",'Mapa final'!$Q$63),"")</f>
        <v/>
      </c>
      <c r="W15" s="46" t="str">
        <f>IF(AND('Mapa final'!$AA$64="Muy Alta",'Mapa final'!$AC$64="Moderado"),CONCATENATE("R10C",'Mapa final'!$Q$64),"")</f>
        <v/>
      </c>
      <c r="X15" s="46" t="str">
        <f>IF(AND('Mapa final'!$AA$65="Muy Alta",'Mapa final'!$AC$65="Moderado"),CONCATENATE("R10C",'Mapa final'!$Q$65),"")</f>
        <v/>
      </c>
      <c r="Y15" s="46" t="str">
        <f>IF(AND('Mapa final'!$AA$66="Muy Alta",'Mapa final'!$AC$66="Moderado"),CONCATENATE("R10C",'Mapa final'!$Q$66),"")</f>
        <v/>
      </c>
      <c r="Z15" s="46" t="str">
        <f>IF(AND('Mapa final'!$AA$67="Muy Alta",'Mapa final'!$AC$67="Moderado"),CONCATENATE("R10C",'Mapa final'!$Q$67),"")</f>
        <v/>
      </c>
      <c r="AA15" s="47" t="str">
        <f>IF(AND('Mapa final'!$AA$68="Muy Alta",'Mapa final'!$AC$68="Moderado"),CONCATENATE("R10C",'Mapa final'!$Q$68),"")</f>
        <v/>
      </c>
      <c r="AB15" s="38" t="str">
        <f>IF(AND('Mapa final'!$AA$63="Muy Alta",'Mapa final'!$AC$63="Mayor"),CONCATENATE("R10C",'Mapa final'!$Q$63),"")</f>
        <v/>
      </c>
      <c r="AC15" s="39" t="str">
        <f>IF(AND('Mapa final'!$AA$64="Muy Alta",'Mapa final'!$AC$64="Mayor"),CONCATENATE("R10C",'Mapa final'!$Q$64),"")</f>
        <v/>
      </c>
      <c r="AD15" s="39" t="str">
        <f>IF(AND('Mapa final'!$AA$65="Muy Alta",'Mapa final'!$AC$65="Mayor"),CONCATENATE("R10C",'Mapa final'!$Q$65),"")</f>
        <v/>
      </c>
      <c r="AE15" s="39" t="str">
        <f>IF(AND('Mapa final'!$AA$66="Muy Alta",'Mapa final'!$AC$66="Mayor"),CONCATENATE("R10C",'Mapa final'!$Q$66),"")</f>
        <v/>
      </c>
      <c r="AF15" s="39" t="str">
        <f>IF(AND('Mapa final'!$AA$67="Muy Alta",'Mapa final'!$AC$67="Mayor"),CONCATENATE("R10C",'Mapa final'!$Q$67),"")</f>
        <v/>
      </c>
      <c r="AG15" s="40" t="str">
        <f>IF(AND('Mapa final'!$AA$68="Muy Alta",'Mapa final'!$AC$68="Mayor"),CONCATENATE("R10C",'Mapa final'!$Q$68),"")</f>
        <v/>
      </c>
      <c r="AH15" s="48" t="str">
        <f>IF(AND('Mapa final'!$AA$63="Muy Alta",'Mapa final'!$AC$63="Catastrófico"),CONCATENATE("R10C",'Mapa final'!$Q$63),"")</f>
        <v/>
      </c>
      <c r="AI15" s="49" t="str">
        <f>IF(AND('Mapa final'!$AA$64="Muy Alta",'Mapa final'!$AC$64="Catastrófico"),CONCATENATE("R10C",'Mapa final'!$Q$64),"")</f>
        <v/>
      </c>
      <c r="AJ15" s="49" t="str">
        <f>IF(AND('Mapa final'!$AA$65="Muy Alta",'Mapa final'!$AC$65="Catastrófico"),CONCATENATE("R10C",'Mapa final'!$Q$65),"")</f>
        <v/>
      </c>
      <c r="AK15" s="49" t="str">
        <f>IF(AND('Mapa final'!$AA$66="Muy Alta",'Mapa final'!$AC$66="Catastrófico"),CONCATENATE("R10C",'Mapa final'!$Q$66),"")</f>
        <v/>
      </c>
      <c r="AL15" s="49" t="str">
        <f>IF(AND('Mapa final'!$AA$67="Muy Alta",'Mapa final'!$AC$67="Catastrófico"),CONCATENATE("R10C",'Mapa final'!$Q$67),"")</f>
        <v/>
      </c>
      <c r="AM15" s="50" t="str">
        <f>IF(AND('Mapa final'!$AA$68="Muy Alta",'Mapa final'!$AC$68="Catastrófico"),CONCATENATE("R10C",'Mapa final'!$Q$68),"")</f>
        <v/>
      </c>
      <c r="AN15" s="70"/>
      <c r="AO15" s="352"/>
      <c r="AP15" s="353"/>
      <c r="AQ15" s="353"/>
      <c r="AR15" s="353"/>
      <c r="AS15" s="353"/>
      <c r="AT15" s="354"/>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41"/>
      <c r="C16" s="241"/>
      <c r="D16" s="242"/>
      <c r="E16" s="338" t="s">
        <v>111</v>
      </c>
      <c r="F16" s="339"/>
      <c r="G16" s="339"/>
      <c r="H16" s="339"/>
      <c r="I16" s="339"/>
      <c r="J16" s="51" t="str">
        <f>IF(AND('Mapa final'!$AA$9="Alta",'Mapa final'!$AC$9="Leve"),CONCATENATE("R1C",'Mapa final'!$Q$9),"")</f>
        <v/>
      </c>
      <c r="K16" s="52" t="str">
        <f>IF(AND('Mapa final'!$AA$10="Alta",'Mapa final'!$AC$10="Leve"),CONCATENATE("R1C",'Mapa final'!$Q$10),"")</f>
        <v/>
      </c>
      <c r="L16" s="52" t="str">
        <f>IF(AND('Mapa final'!$AA$11="Alta",'Mapa final'!$AC$11="Leve"),CONCATENATE("R1C",'Mapa final'!$Q$11),"")</f>
        <v/>
      </c>
      <c r="M16" s="52" t="str">
        <f>IF(AND('Mapa final'!$AA$12="Alta",'Mapa final'!$AC$12="Leve"),CONCATENATE("R1C",'Mapa final'!$Q$12),"")</f>
        <v/>
      </c>
      <c r="N16" s="52" t="str">
        <f>IF(AND('Mapa final'!$AA$13="Alta",'Mapa final'!$AC$13="Leve"),CONCATENATE("R1C",'Mapa final'!$Q$13),"")</f>
        <v/>
      </c>
      <c r="O16" s="53" t="str">
        <f>IF(AND('Mapa final'!$AA$14="Alta",'Mapa final'!$AC$14="Leve"),CONCATENATE("R1C",'Mapa final'!$Q$14),"")</f>
        <v/>
      </c>
      <c r="P16" s="51" t="str">
        <f>IF(AND('Mapa final'!$AA$9="Alta",'Mapa final'!$AC$9="Menor"),CONCATENATE("R1C",'Mapa final'!$Q$9),"")</f>
        <v/>
      </c>
      <c r="Q16" s="52" t="str">
        <f>IF(AND('Mapa final'!$AA$10="Alta",'Mapa final'!$AC$10="Menor"),CONCATENATE("R1C",'Mapa final'!$Q$10),"")</f>
        <v/>
      </c>
      <c r="R16" s="52" t="str">
        <f>IF(AND('Mapa final'!$AA$11="Alta",'Mapa final'!$AC$11="Menor"),CONCATENATE("R1C",'Mapa final'!$Q$11),"")</f>
        <v/>
      </c>
      <c r="S16" s="52" t="str">
        <f>IF(AND('Mapa final'!$AA$12="Alta",'Mapa final'!$AC$12="Menor"),CONCATENATE("R1C",'Mapa final'!$Q$12),"")</f>
        <v/>
      </c>
      <c r="T16" s="52" t="str">
        <f>IF(AND('Mapa final'!$AA$13="Alta",'Mapa final'!$AC$13="Menor"),CONCATENATE("R1C",'Mapa final'!$Q$13),"")</f>
        <v/>
      </c>
      <c r="U16" s="53" t="str">
        <f>IF(AND('Mapa final'!$AA$14="Alta",'Mapa final'!$AC$14="Menor"),CONCATENATE("R1C",'Mapa final'!$Q$14),"")</f>
        <v/>
      </c>
      <c r="V16" s="32" t="str">
        <f>IF(AND('Mapa final'!$AA$9="Alta",'Mapa final'!$AC$9="Moderado"),CONCATENATE("R1C",'Mapa final'!$Q$9),"")</f>
        <v/>
      </c>
      <c r="W16" s="33" t="str">
        <f>IF(AND('Mapa final'!$AA$10="Alta",'Mapa final'!$AC$10="Moderado"),CONCATENATE("R1C",'Mapa final'!$Q$10),"")</f>
        <v/>
      </c>
      <c r="X16" s="33" t="str">
        <f>IF(AND('Mapa final'!$AA$11="Alta",'Mapa final'!$AC$11="Moderado"),CONCATENATE("R1C",'Mapa final'!$Q$11),"")</f>
        <v/>
      </c>
      <c r="Y16" s="33" t="str">
        <f>IF(AND('Mapa final'!$AA$12="Alta",'Mapa final'!$AC$12="Moderado"),CONCATENATE("R1C",'Mapa final'!$Q$12),"")</f>
        <v/>
      </c>
      <c r="Z16" s="33" t="str">
        <f>IF(AND('Mapa final'!$AA$13="Alta",'Mapa final'!$AC$13="Moderado"),CONCATENATE("R1C",'Mapa final'!$Q$13),"")</f>
        <v/>
      </c>
      <c r="AA16" s="34" t="str">
        <f>IF(AND('Mapa final'!$AA$14="Alta",'Mapa final'!$AC$14="Moderado"),CONCATENATE("R1C",'Mapa final'!$Q$14),"")</f>
        <v/>
      </c>
      <c r="AB16" s="32" t="str">
        <f>IF(AND('Mapa final'!$AA$9="Alta",'Mapa final'!$AC$9="Mayor"),CONCATENATE("R1C",'Mapa final'!$Q$9),"")</f>
        <v/>
      </c>
      <c r="AC16" s="33" t="str">
        <f>IF(AND('Mapa final'!$AA$10="Alta",'Mapa final'!$AC$10="Mayor"),CONCATENATE("R1C",'Mapa final'!$Q$10),"")</f>
        <v/>
      </c>
      <c r="AD16" s="33" t="str">
        <f>IF(AND('Mapa final'!$AA$11="Alta",'Mapa final'!$AC$11="Mayor"),CONCATENATE("R1C",'Mapa final'!$Q$11),"")</f>
        <v/>
      </c>
      <c r="AE16" s="33" t="str">
        <f>IF(AND('Mapa final'!$AA$12="Alta",'Mapa final'!$AC$12="Mayor"),CONCATENATE("R1C",'Mapa final'!$Q$12),"")</f>
        <v/>
      </c>
      <c r="AF16" s="33" t="str">
        <f>IF(AND('Mapa final'!$AA$13="Alta",'Mapa final'!$AC$13="Mayor"),CONCATENATE("R1C",'Mapa final'!$Q$13),"")</f>
        <v/>
      </c>
      <c r="AG16" s="34" t="str">
        <f>IF(AND('Mapa final'!$AA$14="Alta",'Mapa final'!$AC$14="Mayor"),CONCATENATE("R1C",'Mapa final'!$Q$14),"")</f>
        <v/>
      </c>
      <c r="AH16" s="35" t="str">
        <f>IF(AND('Mapa final'!$AA$9="Alta",'Mapa final'!$AC$9="Catastrófico"),CONCATENATE("R1C",'Mapa final'!$Q$9),"")</f>
        <v/>
      </c>
      <c r="AI16" s="36" t="str">
        <f>IF(AND('Mapa final'!$AA$10="Alta",'Mapa final'!$AC$10="Catastrófico"),CONCATENATE("R1C",'Mapa final'!$Q$10),"")</f>
        <v/>
      </c>
      <c r="AJ16" s="36" t="str">
        <f>IF(AND('Mapa final'!$AA$11="Alta",'Mapa final'!$AC$11="Catastrófico"),CONCATENATE("R1C",'Mapa final'!$Q$11),"")</f>
        <v/>
      </c>
      <c r="AK16" s="36" t="str">
        <f>IF(AND('Mapa final'!$AA$12="Alta",'Mapa final'!$AC$12="Catastrófico"),CONCATENATE("R1C",'Mapa final'!$Q$12),"")</f>
        <v/>
      </c>
      <c r="AL16" s="36" t="str">
        <f>IF(AND('Mapa final'!$AA$13="Alta",'Mapa final'!$AC$13="Catastrófico"),CONCATENATE("R1C",'Mapa final'!$Q$13),"")</f>
        <v/>
      </c>
      <c r="AM16" s="37" t="str">
        <f>IF(AND('Mapa final'!$AA$14="Alta",'Mapa final'!$AC$14="Catastrófico"),CONCATENATE("R1C",'Mapa final'!$Q$14),"")</f>
        <v/>
      </c>
      <c r="AN16" s="70"/>
      <c r="AO16" s="329" t="s">
        <v>76</v>
      </c>
      <c r="AP16" s="330"/>
      <c r="AQ16" s="330"/>
      <c r="AR16" s="330"/>
      <c r="AS16" s="330"/>
      <c r="AT16" s="331"/>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41"/>
      <c r="C17" s="241"/>
      <c r="D17" s="242"/>
      <c r="E17" s="340"/>
      <c r="F17" s="341"/>
      <c r="G17" s="341"/>
      <c r="H17" s="341"/>
      <c r="I17" s="341"/>
      <c r="J17" s="54" t="str">
        <f>IF(AND('Mapa final'!$AA$15="Alta",'Mapa final'!$AC$15="Leve"),CONCATENATE("R2C",'Mapa final'!$Q$15),"")</f>
        <v/>
      </c>
      <c r="K17" s="55" t="str">
        <f>IF(AND('Mapa final'!$AA$16="Alta",'Mapa final'!$AC$16="Leve"),CONCATENATE("R2C",'Mapa final'!$Q$16),"")</f>
        <v/>
      </c>
      <c r="L17" s="55" t="str">
        <f>IF(AND('Mapa final'!$AA$17="Alta",'Mapa final'!$AC$17="Leve"),CONCATENATE("R2C",'Mapa final'!$Q$17),"")</f>
        <v/>
      </c>
      <c r="M17" s="55" t="str">
        <f>IF(AND('Mapa final'!$AA$18="Alta",'Mapa final'!$AC$18="Leve"),CONCATENATE("R2C",'Mapa final'!$Q$18),"")</f>
        <v/>
      </c>
      <c r="N17" s="55" t="str">
        <f>IF(AND('Mapa final'!$AA$19="Alta",'Mapa final'!$AC$19="Leve"),CONCATENATE("R2C",'Mapa final'!$Q$19),"")</f>
        <v/>
      </c>
      <c r="O17" s="56" t="str">
        <f>IF(AND('Mapa final'!$AA$20="Alta",'Mapa final'!$AC$20="Leve"),CONCATENATE("R2C",'Mapa final'!$Q$20),"")</f>
        <v/>
      </c>
      <c r="P17" s="54" t="str">
        <f>IF(AND('Mapa final'!$AA$15="Alta",'Mapa final'!$AC$15="Menor"),CONCATENATE("R2C",'Mapa final'!$Q$15),"")</f>
        <v/>
      </c>
      <c r="Q17" s="55" t="str">
        <f>IF(AND('Mapa final'!$AA$16="Alta",'Mapa final'!$AC$16="Menor"),CONCATENATE("R2C",'Mapa final'!$Q$16),"")</f>
        <v/>
      </c>
      <c r="R17" s="55" t="str">
        <f>IF(AND('Mapa final'!$AA$17="Alta",'Mapa final'!$AC$17="Menor"),CONCATENATE("R2C",'Mapa final'!$Q$17),"")</f>
        <v/>
      </c>
      <c r="S17" s="55" t="str">
        <f>IF(AND('Mapa final'!$AA$18="Alta",'Mapa final'!$AC$18="Menor"),CONCATENATE("R2C",'Mapa final'!$Q$18),"")</f>
        <v/>
      </c>
      <c r="T17" s="55" t="str">
        <f>IF(AND('Mapa final'!$AA$19="Alta",'Mapa final'!$AC$19="Menor"),CONCATENATE("R2C",'Mapa final'!$Q$19),"")</f>
        <v/>
      </c>
      <c r="U17" s="56" t="str">
        <f>IF(AND('Mapa final'!$AA$20="Alta",'Mapa final'!$AC$20="Menor"),CONCATENATE("R2C",'Mapa final'!$Q$20),"")</f>
        <v/>
      </c>
      <c r="V17" s="38" t="str">
        <f>IF(AND('Mapa final'!$AA$15="Alta",'Mapa final'!$AC$15="Moderado"),CONCATENATE("R2C",'Mapa final'!$Q$15),"")</f>
        <v/>
      </c>
      <c r="W17" s="39" t="str">
        <f>IF(AND('Mapa final'!$AA$16="Alta",'Mapa final'!$AC$16="Moderado"),CONCATENATE("R2C",'Mapa final'!$Q$16),"")</f>
        <v/>
      </c>
      <c r="X17" s="39" t="str">
        <f>IF(AND('Mapa final'!$AA$17="Alta",'Mapa final'!$AC$17="Moderado"),CONCATENATE("R2C",'Mapa final'!$Q$17),"")</f>
        <v/>
      </c>
      <c r="Y17" s="39" t="str">
        <f>IF(AND('Mapa final'!$AA$18="Alta",'Mapa final'!$AC$18="Moderado"),CONCATENATE("R2C",'Mapa final'!$Q$18),"")</f>
        <v/>
      </c>
      <c r="Z17" s="39" t="str">
        <f>IF(AND('Mapa final'!$AA$19="Alta",'Mapa final'!$AC$19="Moderado"),CONCATENATE("R2C",'Mapa final'!$Q$19),"")</f>
        <v/>
      </c>
      <c r="AA17" s="40" t="str">
        <f>IF(AND('Mapa final'!$AA$20="Alta",'Mapa final'!$AC$20="Moderado"),CONCATENATE("R2C",'Mapa final'!$Q$20),"")</f>
        <v/>
      </c>
      <c r="AB17" s="38" t="str">
        <f>IF(AND('Mapa final'!$AA$15="Alta",'Mapa final'!$AC$15="Mayor"),CONCATENATE("R2C",'Mapa final'!$Q$15),"")</f>
        <v/>
      </c>
      <c r="AC17" s="39" t="str">
        <f>IF(AND('Mapa final'!$AA$16="Alta",'Mapa final'!$AC$16="Mayor"),CONCATENATE("R2C",'Mapa final'!$Q$16),"")</f>
        <v/>
      </c>
      <c r="AD17" s="39" t="str">
        <f>IF(AND('Mapa final'!$AA$17="Alta",'Mapa final'!$AC$17="Mayor"),CONCATENATE("R2C",'Mapa final'!$Q$17),"")</f>
        <v/>
      </c>
      <c r="AE17" s="39" t="str">
        <f>IF(AND('Mapa final'!$AA$18="Alta",'Mapa final'!$AC$18="Mayor"),CONCATENATE("R2C",'Mapa final'!$Q$18),"")</f>
        <v/>
      </c>
      <c r="AF17" s="39" t="str">
        <f>IF(AND('Mapa final'!$AA$19="Alta",'Mapa final'!$AC$19="Mayor"),CONCATENATE("R2C",'Mapa final'!$Q$19),"")</f>
        <v/>
      </c>
      <c r="AG17" s="40" t="str">
        <f>IF(AND('Mapa final'!$AA$20="Alta",'Mapa final'!$AC$20="Mayor"),CONCATENATE("R2C",'Mapa final'!$Q$20),"")</f>
        <v/>
      </c>
      <c r="AH17" s="41" t="str">
        <f>IF(AND('Mapa final'!$AA$15="Alta",'Mapa final'!$AC$15="Catastrófico"),CONCATENATE("R2C",'Mapa final'!$Q$15),"")</f>
        <v/>
      </c>
      <c r="AI17" s="42" t="str">
        <f>IF(AND('Mapa final'!$AA$16="Alta",'Mapa final'!$AC$16="Catastrófico"),CONCATENATE("R2C",'Mapa final'!$Q$16),"")</f>
        <v/>
      </c>
      <c r="AJ17" s="42" t="str">
        <f>IF(AND('Mapa final'!$AA$17="Alta",'Mapa final'!$AC$17="Catastrófico"),CONCATENATE("R2C",'Mapa final'!$Q$17),"")</f>
        <v/>
      </c>
      <c r="AK17" s="42" t="str">
        <f>IF(AND('Mapa final'!$AA$18="Alta",'Mapa final'!$AC$18="Catastrófico"),CONCATENATE("R2C",'Mapa final'!$Q$18),"")</f>
        <v/>
      </c>
      <c r="AL17" s="42" t="str">
        <f>IF(AND('Mapa final'!$AA$19="Alta",'Mapa final'!$AC$19="Catastrófico"),CONCATENATE("R2C",'Mapa final'!$Q$19),"")</f>
        <v/>
      </c>
      <c r="AM17" s="43" t="str">
        <f>IF(AND('Mapa final'!$AA$20="Alta",'Mapa final'!$AC$20="Catastrófico"),CONCATENATE("R2C",'Mapa final'!$Q$20),"")</f>
        <v/>
      </c>
      <c r="AN17" s="70"/>
      <c r="AO17" s="332"/>
      <c r="AP17" s="333"/>
      <c r="AQ17" s="333"/>
      <c r="AR17" s="333"/>
      <c r="AS17" s="333"/>
      <c r="AT17" s="334"/>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41"/>
      <c r="C18" s="241"/>
      <c r="D18" s="242"/>
      <c r="E18" s="342"/>
      <c r="F18" s="343"/>
      <c r="G18" s="343"/>
      <c r="H18" s="343"/>
      <c r="I18" s="341"/>
      <c r="J18" s="54" t="str">
        <f>IF(AND('Mapa final'!$AA$21="Alta",'Mapa final'!$AC$21="Leve"),CONCATENATE("R3C",'Mapa final'!$Q$21),"")</f>
        <v/>
      </c>
      <c r="K18" s="55" t="str">
        <f>IF(AND('Mapa final'!$AA$22="Alta",'Mapa final'!$AC$22="Leve"),CONCATENATE("R3C",'Mapa final'!$Q$22),"")</f>
        <v/>
      </c>
      <c r="L18" s="55" t="str">
        <f>IF(AND('Mapa final'!$AA$23="Alta",'Mapa final'!$AC$23="Leve"),CONCATENATE("R3C",'Mapa final'!$Q$23),"")</f>
        <v/>
      </c>
      <c r="M18" s="55" t="str">
        <f>IF(AND('Mapa final'!$AA$24="Alta",'Mapa final'!$AC$24="Leve"),CONCATENATE("R3C",'Mapa final'!$Q$24),"")</f>
        <v/>
      </c>
      <c r="N18" s="55" t="str">
        <f>IF(AND('Mapa final'!$AA$25="Alta",'Mapa final'!$AC$25="Leve"),CONCATENATE("R3C",'Mapa final'!$Q$25),"")</f>
        <v/>
      </c>
      <c r="O18" s="56" t="str">
        <f>IF(AND('Mapa final'!$AA$26="Alta",'Mapa final'!$AC$26="Leve"),CONCATENATE("R3C",'Mapa final'!$Q$26),"")</f>
        <v/>
      </c>
      <c r="P18" s="54" t="str">
        <f>IF(AND('Mapa final'!$AA$21="Alta",'Mapa final'!$AC$21="Menor"),CONCATENATE("R3C",'Mapa final'!$Q$21),"")</f>
        <v/>
      </c>
      <c r="Q18" s="55" t="str">
        <f>IF(AND('Mapa final'!$AA$22="Alta",'Mapa final'!$AC$22="Menor"),CONCATENATE("R3C",'Mapa final'!$Q$22),"")</f>
        <v/>
      </c>
      <c r="R18" s="55" t="str">
        <f>IF(AND('Mapa final'!$AA$23="Alta",'Mapa final'!$AC$23="Menor"),CONCATENATE("R3C",'Mapa final'!$Q$23),"")</f>
        <v/>
      </c>
      <c r="S18" s="55" t="str">
        <f>IF(AND('Mapa final'!$AA$24="Alta",'Mapa final'!$AC$24="Menor"),CONCATENATE("R3C",'Mapa final'!$Q$24),"")</f>
        <v/>
      </c>
      <c r="T18" s="55" t="str">
        <f>IF(AND('Mapa final'!$AA$25="Alta",'Mapa final'!$AC$25="Menor"),CONCATENATE("R3C",'Mapa final'!$Q$25),"")</f>
        <v/>
      </c>
      <c r="U18" s="56" t="str">
        <f>IF(AND('Mapa final'!$AA$26="Alta",'Mapa final'!$AC$26="Menor"),CONCATENATE("R3C",'Mapa final'!$Q$26),"")</f>
        <v/>
      </c>
      <c r="V18" s="38" t="str">
        <f>IF(AND('Mapa final'!$AA$21="Alta",'Mapa final'!$AC$21="Moderado"),CONCATENATE("R3C",'Mapa final'!$Q$21),"")</f>
        <v/>
      </c>
      <c r="W18" s="39" t="str">
        <f>IF(AND('Mapa final'!$AA$22="Alta",'Mapa final'!$AC$22="Moderado"),CONCATENATE("R3C",'Mapa final'!$Q$22),"")</f>
        <v/>
      </c>
      <c r="X18" s="39" t="str">
        <f>IF(AND('Mapa final'!$AA$23="Alta",'Mapa final'!$AC$23="Moderado"),CONCATENATE("R3C",'Mapa final'!$Q$23),"")</f>
        <v/>
      </c>
      <c r="Y18" s="39" t="str">
        <f>IF(AND('Mapa final'!$AA$24="Alta",'Mapa final'!$AC$24="Moderado"),CONCATENATE("R3C",'Mapa final'!$Q$24),"")</f>
        <v/>
      </c>
      <c r="Z18" s="39" t="str">
        <f>IF(AND('Mapa final'!$AA$25="Alta",'Mapa final'!$AC$25="Moderado"),CONCATENATE("R3C",'Mapa final'!$Q$25),"")</f>
        <v/>
      </c>
      <c r="AA18" s="40" t="str">
        <f>IF(AND('Mapa final'!$AA$26="Alta",'Mapa final'!$AC$26="Moderado"),CONCATENATE("R3C",'Mapa final'!$Q$26),"")</f>
        <v/>
      </c>
      <c r="AB18" s="38" t="str">
        <f>IF(AND('Mapa final'!$AA$21="Alta",'Mapa final'!$AC$21="Mayor"),CONCATENATE("R3C",'Mapa final'!$Q$21),"")</f>
        <v/>
      </c>
      <c r="AC18" s="39" t="str">
        <f>IF(AND('Mapa final'!$AA$22="Alta",'Mapa final'!$AC$22="Mayor"),CONCATENATE("R3C",'Mapa final'!$Q$22),"")</f>
        <v/>
      </c>
      <c r="AD18" s="39" t="str">
        <f>IF(AND('Mapa final'!$AA$23="Alta",'Mapa final'!$AC$23="Mayor"),CONCATENATE("R3C",'Mapa final'!$Q$23),"")</f>
        <v/>
      </c>
      <c r="AE18" s="39" t="str">
        <f>IF(AND('Mapa final'!$AA$24="Alta",'Mapa final'!$AC$24="Mayor"),CONCATENATE("R3C",'Mapa final'!$Q$24),"")</f>
        <v/>
      </c>
      <c r="AF18" s="39" t="str">
        <f>IF(AND('Mapa final'!$AA$25="Alta",'Mapa final'!$AC$25="Mayor"),CONCATENATE("R3C",'Mapa final'!$Q$25),"")</f>
        <v/>
      </c>
      <c r="AG18" s="40" t="str">
        <f>IF(AND('Mapa final'!$AA$26="Alta",'Mapa final'!$AC$26="Mayor"),CONCATENATE("R3C",'Mapa final'!$Q$26),"")</f>
        <v/>
      </c>
      <c r="AH18" s="41" t="str">
        <f>IF(AND('Mapa final'!$AA$21="Alta",'Mapa final'!$AC$21="Catastrófico"),CONCATENATE("R3C",'Mapa final'!$Q$21),"")</f>
        <v/>
      </c>
      <c r="AI18" s="42" t="str">
        <f>IF(AND('Mapa final'!$AA$22="Alta",'Mapa final'!$AC$22="Catastrófico"),CONCATENATE("R3C",'Mapa final'!$Q$22),"")</f>
        <v/>
      </c>
      <c r="AJ18" s="42" t="str">
        <f>IF(AND('Mapa final'!$AA$23="Alta",'Mapa final'!$AC$23="Catastrófico"),CONCATENATE("R3C",'Mapa final'!$Q$23),"")</f>
        <v/>
      </c>
      <c r="AK18" s="42" t="str">
        <f>IF(AND('Mapa final'!$AA$24="Alta",'Mapa final'!$AC$24="Catastrófico"),CONCATENATE("R3C",'Mapa final'!$Q$24),"")</f>
        <v/>
      </c>
      <c r="AL18" s="42" t="str">
        <f>IF(AND('Mapa final'!$AA$25="Alta",'Mapa final'!$AC$25="Catastrófico"),CONCATENATE("R3C",'Mapa final'!$Q$25),"")</f>
        <v/>
      </c>
      <c r="AM18" s="43" t="str">
        <f>IF(AND('Mapa final'!$AA$26="Alta",'Mapa final'!$AC$26="Catastrófico"),CONCATENATE("R3C",'Mapa final'!$Q$26),"")</f>
        <v/>
      </c>
      <c r="AN18" s="70"/>
      <c r="AO18" s="332"/>
      <c r="AP18" s="333"/>
      <c r="AQ18" s="333"/>
      <c r="AR18" s="333"/>
      <c r="AS18" s="333"/>
      <c r="AT18" s="334"/>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41"/>
      <c r="C19" s="241"/>
      <c r="D19" s="242"/>
      <c r="E19" s="342"/>
      <c r="F19" s="343"/>
      <c r="G19" s="343"/>
      <c r="H19" s="343"/>
      <c r="I19" s="341"/>
      <c r="J19" s="54" t="str">
        <f>IF(AND('Mapa final'!$AA$27="Alta",'Mapa final'!$AC$27="Leve"),CONCATENATE("R4C",'Mapa final'!$Q$27),"")</f>
        <v/>
      </c>
      <c r="K19" s="55" t="str">
        <f>IF(AND('Mapa final'!$AA$28="Alta",'Mapa final'!$AC$28="Leve"),CONCATENATE("R4C",'Mapa final'!$Q$28),"")</f>
        <v/>
      </c>
      <c r="L19" s="55" t="str">
        <f>IF(AND('Mapa final'!$AA$29="Alta",'Mapa final'!$AC$29="Leve"),CONCATENATE("R4C",'Mapa final'!$Q$29),"")</f>
        <v/>
      </c>
      <c r="M19" s="55" t="str">
        <f>IF(AND('Mapa final'!$AA$30="Alta",'Mapa final'!$AC$30="Leve"),CONCATENATE("R4C",'Mapa final'!$Q$30),"")</f>
        <v/>
      </c>
      <c r="N19" s="55" t="str">
        <f>IF(AND('Mapa final'!$AA$31="Alta",'Mapa final'!$AC$31="Leve"),CONCATENATE("R4C",'Mapa final'!$Q$31),"")</f>
        <v/>
      </c>
      <c r="O19" s="56" t="str">
        <f>IF(AND('Mapa final'!$AA$32="Alta",'Mapa final'!$AC$32="Leve"),CONCATENATE("R4C",'Mapa final'!$Q$32),"")</f>
        <v/>
      </c>
      <c r="P19" s="54" t="str">
        <f>IF(AND('Mapa final'!$AA$27="Alta",'Mapa final'!$AC$27="Menor"),CONCATENATE("R4C",'Mapa final'!$Q$27),"")</f>
        <v/>
      </c>
      <c r="Q19" s="55" t="str">
        <f>IF(AND('Mapa final'!$AA$28="Alta",'Mapa final'!$AC$28="Menor"),CONCATENATE("R4C",'Mapa final'!$Q$28),"")</f>
        <v/>
      </c>
      <c r="R19" s="55" t="str">
        <f>IF(AND('Mapa final'!$AA$29="Alta",'Mapa final'!$AC$29="Menor"),CONCATENATE("R4C",'Mapa final'!$Q$29),"")</f>
        <v/>
      </c>
      <c r="S19" s="55" t="str">
        <f>IF(AND('Mapa final'!$AA$30="Alta",'Mapa final'!$AC$30="Menor"),CONCATENATE("R4C",'Mapa final'!$Q$30),"")</f>
        <v/>
      </c>
      <c r="T19" s="55" t="str">
        <f>IF(AND('Mapa final'!$AA$31="Alta",'Mapa final'!$AC$31="Menor"),CONCATENATE("R4C",'Mapa final'!$Q$31),"")</f>
        <v/>
      </c>
      <c r="U19" s="56" t="str">
        <f>IF(AND('Mapa final'!$AA$32="Alta",'Mapa final'!$AC$32="Menor"),CONCATENATE("R4C",'Mapa final'!$Q$32),"")</f>
        <v/>
      </c>
      <c r="V19" s="38" t="str">
        <f>IF(AND('Mapa final'!$AA$27="Alta",'Mapa final'!$AC$27="Moderado"),CONCATENATE("R4C",'Mapa final'!$Q$27),"")</f>
        <v/>
      </c>
      <c r="W19" s="39" t="str">
        <f>IF(AND('Mapa final'!$AA$28="Alta",'Mapa final'!$AC$28="Moderado"),CONCATENATE("R4C",'Mapa final'!$Q$28),"")</f>
        <v/>
      </c>
      <c r="X19" s="44" t="str">
        <f>IF(AND('Mapa final'!$AA$29="Alta",'Mapa final'!$AC$29="Moderado"),CONCATENATE("R4C",'Mapa final'!$Q$29),"")</f>
        <v/>
      </c>
      <c r="Y19" s="44" t="str">
        <f>IF(AND('Mapa final'!$AA$30="Alta",'Mapa final'!$AC$30="Moderado"),CONCATENATE("R4C",'Mapa final'!$Q$30),"")</f>
        <v/>
      </c>
      <c r="Z19" s="44" t="str">
        <f>IF(AND('Mapa final'!$AA$31="Alta",'Mapa final'!$AC$31="Moderado"),CONCATENATE("R4C",'Mapa final'!$Q$31),"")</f>
        <v/>
      </c>
      <c r="AA19" s="40" t="str">
        <f>IF(AND('Mapa final'!$AA$32="Alta",'Mapa final'!$AC$32="Moderado"),CONCATENATE("R4C",'Mapa final'!$Q$32),"")</f>
        <v/>
      </c>
      <c r="AB19" s="38" t="str">
        <f>IF(AND('Mapa final'!$AA$27="Alta",'Mapa final'!$AC$27="Mayor"),CONCATENATE("R4C",'Mapa final'!$Q$27),"")</f>
        <v/>
      </c>
      <c r="AC19" s="39" t="str">
        <f>IF(AND('Mapa final'!$AA$28="Alta",'Mapa final'!$AC$28="Mayor"),CONCATENATE("R4C",'Mapa final'!$Q$28),"")</f>
        <v/>
      </c>
      <c r="AD19" s="44" t="str">
        <f>IF(AND('Mapa final'!$AA$29="Alta",'Mapa final'!$AC$29="Mayor"),CONCATENATE("R4C",'Mapa final'!$Q$29),"")</f>
        <v/>
      </c>
      <c r="AE19" s="44" t="str">
        <f>IF(AND('Mapa final'!$AA$30="Alta",'Mapa final'!$AC$30="Mayor"),CONCATENATE("R4C",'Mapa final'!$Q$30),"")</f>
        <v/>
      </c>
      <c r="AF19" s="44" t="str">
        <f>IF(AND('Mapa final'!$AA$31="Alta",'Mapa final'!$AC$31="Mayor"),CONCATENATE("R4C",'Mapa final'!$Q$31),"")</f>
        <v/>
      </c>
      <c r="AG19" s="40" t="str">
        <f>IF(AND('Mapa final'!$AA$32="Alta",'Mapa final'!$AC$32="Mayor"),CONCATENATE("R4C",'Mapa final'!$Q$32),"")</f>
        <v/>
      </c>
      <c r="AH19" s="41" t="str">
        <f>IF(AND('Mapa final'!$AA$27="Alta",'Mapa final'!$AC$27="Catastrófico"),CONCATENATE("R4C",'Mapa final'!$Q$27),"")</f>
        <v/>
      </c>
      <c r="AI19" s="42" t="str">
        <f>IF(AND('Mapa final'!$AA$28="Alta",'Mapa final'!$AC$28="Catastrófico"),CONCATENATE("R4C",'Mapa final'!$Q$28),"")</f>
        <v/>
      </c>
      <c r="AJ19" s="42" t="str">
        <f>IF(AND('Mapa final'!$AA$29="Alta",'Mapa final'!$AC$29="Catastrófico"),CONCATENATE("R4C",'Mapa final'!$Q$29),"")</f>
        <v/>
      </c>
      <c r="AK19" s="42" t="str">
        <f>IF(AND('Mapa final'!$AA$30="Alta",'Mapa final'!$AC$30="Catastrófico"),CONCATENATE("R4C",'Mapa final'!$Q$30),"")</f>
        <v/>
      </c>
      <c r="AL19" s="42" t="str">
        <f>IF(AND('Mapa final'!$AA$31="Alta",'Mapa final'!$AC$31="Catastrófico"),CONCATENATE("R4C",'Mapa final'!$Q$31),"")</f>
        <v/>
      </c>
      <c r="AM19" s="43" t="str">
        <f>IF(AND('Mapa final'!$AA$32="Alta",'Mapa final'!$AC$32="Catastrófico"),CONCATENATE("R4C",'Mapa final'!$Q$32),"")</f>
        <v/>
      </c>
      <c r="AN19" s="70"/>
      <c r="AO19" s="332"/>
      <c r="AP19" s="333"/>
      <c r="AQ19" s="333"/>
      <c r="AR19" s="333"/>
      <c r="AS19" s="333"/>
      <c r="AT19" s="334"/>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41"/>
      <c r="C20" s="241"/>
      <c r="D20" s="242"/>
      <c r="E20" s="342"/>
      <c r="F20" s="343"/>
      <c r="G20" s="343"/>
      <c r="H20" s="343"/>
      <c r="I20" s="341"/>
      <c r="J20" s="54" t="str">
        <f>IF(AND('Mapa final'!$AA$33="Alta",'Mapa final'!$AC$33="Leve"),CONCATENATE("R5C",'Mapa final'!$Q$33),"")</f>
        <v/>
      </c>
      <c r="K20" s="55" t="str">
        <f>IF(AND('Mapa final'!$AA$34="Alta",'Mapa final'!$AC$34="Leve"),CONCATENATE("R5C",'Mapa final'!$Q$34),"")</f>
        <v/>
      </c>
      <c r="L20" s="55" t="str">
        <f>IF(AND('Mapa final'!$AA$35="Alta",'Mapa final'!$AC$35="Leve"),CONCATENATE("R5C",'Mapa final'!$Q$35),"")</f>
        <v/>
      </c>
      <c r="M20" s="55" t="str">
        <f>IF(AND('Mapa final'!$AA$36="Alta",'Mapa final'!$AC$36="Leve"),CONCATENATE("R5C",'Mapa final'!$Q$36),"")</f>
        <v/>
      </c>
      <c r="N20" s="55" t="str">
        <f>IF(AND('Mapa final'!$AA$37="Alta",'Mapa final'!$AC$37="Leve"),CONCATENATE("R5C",'Mapa final'!$Q$37),"")</f>
        <v/>
      </c>
      <c r="O20" s="56" t="str">
        <f>IF(AND('Mapa final'!$AA$38="Alta",'Mapa final'!$AC$38="Leve"),CONCATENATE("R5C",'Mapa final'!$Q$38),"")</f>
        <v/>
      </c>
      <c r="P20" s="54" t="str">
        <f>IF(AND('Mapa final'!$AA$33="Alta",'Mapa final'!$AC$33="Menor"),CONCATENATE("R5C",'Mapa final'!$Q$33),"")</f>
        <v/>
      </c>
      <c r="Q20" s="55" t="str">
        <f>IF(AND('Mapa final'!$AA$34="Alta",'Mapa final'!$AC$34="Menor"),CONCATENATE("R5C",'Mapa final'!$Q$34),"")</f>
        <v/>
      </c>
      <c r="R20" s="55" t="str">
        <f>IF(AND('Mapa final'!$AA$35="Alta",'Mapa final'!$AC$35="Menor"),CONCATENATE("R5C",'Mapa final'!$Q$35),"")</f>
        <v/>
      </c>
      <c r="S20" s="55" t="str">
        <f>IF(AND('Mapa final'!$AA$36="Alta",'Mapa final'!$AC$36="Menor"),CONCATENATE("R5C",'Mapa final'!$Q$36),"")</f>
        <v/>
      </c>
      <c r="T20" s="55" t="str">
        <f>IF(AND('Mapa final'!$AA$37="Alta",'Mapa final'!$AC$37="Menor"),CONCATENATE("R5C",'Mapa final'!$Q$37),"")</f>
        <v/>
      </c>
      <c r="U20" s="56" t="str">
        <f>IF(AND('Mapa final'!$AA$38="Alta",'Mapa final'!$AC$38="Menor"),CONCATENATE("R5C",'Mapa final'!$Q$38),"")</f>
        <v/>
      </c>
      <c r="V20" s="38" t="str">
        <f>IF(AND('Mapa final'!$AA$33="Alta",'Mapa final'!$AC$33="Moderado"),CONCATENATE("R5C",'Mapa final'!$Q$33),"")</f>
        <v/>
      </c>
      <c r="W20" s="39" t="str">
        <f>IF(AND('Mapa final'!$AA$34="Alta",'Mapa final'!$AC$34="Moderado"),CONCATENATE("R5C",'Mapa final'!$Q$34),"")</f>
        <v/>
      </c>
      <c r="X20" s="44" t="str">
        <f>IF(AND('Mapa final'!$AA$35="Alta",'Mapa final'!$AC$35="Moderado"),CONCATENATE("R5C",'Mapa final'!$Q$35),"")</f>
        <v/>
      </c>
      <c r="Y20" s="44" t="str">
        <f>IF(AND('Mapa final'!$AA$36="Alta",'Mapa final'!$AC$36="Moderado"),CONCATENATE("R5C",'Mapa final'!$Q$36),"")</f>
        <v/>
      </c>
      <c r="Z20" s="44" t="str">
        <f>IF(AND('Mapa final'!$AA$37="Alta",'Mapa final'!$AC$37="Moderado"),CONCATENATE("R5C",'Mapa final'!$Q$37),"")</f>
        <v/>
      </c>
      <c r="AA20" s="40" t="str">
        <f>IF(AND('Mapa final'!$AA$38="Alta",'Mapa final'!$AC$38="Moderado"),CONCATENATE("R5C",'Mapa final'!$Q$38),"")</f>
        <v/>
      </c>
      <c r="AB20" s="38" t="str">
        <f>IF(AND('Mapa final'!$AA$33="Alta",'Mapa final'!$AC$33="Mayor"),CONCATENATE("R5C",'Mapa final'!$Q$33),"")</f>
        <v/>
      </c>
      <c r="AC20" s="39" t="str">
        <f>IF(AND('Mapa final'!$AA$34="Alta",'Mapa final'!$AC$34="Mayor"),CONCATENATE("R5C",'Mapa final'!$Q$34),"")</f>
        <v/>
      </c>
      <c r="AD20" s="44" t="str">
        <f>IF(AND('Mapa final'!$AA$35="Alta",'Mapa final'!$AC$35="Mayor"),CONCATENATE("R5C",'Mapa final'!$Q$35),"")</f>
        <v/>
      </c>
      <c r="AE20" s="44" t="str">
        <f>IF(AND('Mapa final'!$AA$36="Alta",'Mapa final'!$AC$36="Mayor"),CONCATENATE("R5C",'Mapa final'!$Q$36),"")</f>
        <v/>
      </c>
      <c r="AF20" s="44" t="str">
        <f>IF(AND('Mapa final'!$AA$37="Alta",'Mapa final'!$AC$37="Mayor"),CONCATENATE("R5C",'Mapa final'!$Q$37),"")</f>
        <v/>
      </c>
      <c r="AG20" s="40" t="str">
        <f>IF(AND('Mapa final'!$AA$38="Alta",'Mapa final'!$AC$38="Mayor"),CONCATENATE("R5C",'Mapa final'!$Q$38),"")</f>
        <v/>
      </c>
      <c r="AH20" s="41" t="str">
        <f>IF(AND('Mapa final'!$AA$33="Alta",'Mapa final'!$AC$33="Catastrófico"),CONCATENATE("R5C",'Mapa final'!$Q$33),"")</f>
        <v/>
      </c>
      <c r="AI20" s="42" t="str">
        <f>IF(AND('Mapa final'!$AA$34="Alta",'Mapa final'!$AC$34="Catastrófico"),CONCATENATE("R5C",'Mapa final'!$Q$34),"")</f>
        <v/>
      </c>
      <c r="AJ20" s="42" t="str">
        <f>IF(AND('Mapa final'!$AA$35="Alta",'Mapa final'!$AC$35="Catastrófico"),CONCATENATE("R5C",'Mapa final'!$Q$35),"")</f>
        <v/>
      </c>
      <c r="AK20" s="42" t="str">
        <f>IF(AND('Mapa final'!$AA$36="Alta",'Mapa final'!$AC$36="Catastrófico"),CONCATENATE("R5C",'Mapa final'!$Q$36),"")</f>
        <v/>
      </c>
      <c r="AL20" s="42" t="str">
        <f>IF(AND('Mapa final'!$AA$37="Alta",'Mapa final'!$AC$37="Catastrófico"),CONCATENATE("R5C",'Mapa final'!$Q$37),"")</f>
        <v/>
      </c>
      <c r="AM20" s="43" t="str">
        <f>IF(AND('Mapa final'!$AA$38="Alta",'Mapa final'!$AC$38="Catastrófico"),CONCATENATE("R5C",'Mapa final'!$Q$38),"")</f>
        <v/>
      </c>
      <c r="AN20" s="70"/>
      <c r="AO20" s="332"/>
      <c r="AP20" s="333"/>
      <c r="AQ20" s="333"/>
      <c r="AR20" s="333"/>
      <c r="AS20" s="333"/>
      <c r="AT20" s="334"/>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41"/>
      <c r="C21" s="241"/>
      <c r="D21" s="242"/>
      <c r="E21" s="342"/>
      <c r="F21" s="343"/>
      <c r="G21" s="343"/>
      <c r="H21" s="343"/>
      <c r="I21" s="341"/>
      <c r="J21" s="54" t="str">
        <f>IF(AND('Mapa final'!$AA$39="Alta",'Mapa final'!$AC$39="Leve"),CONCATENATE("R6C",'Mapa final'!$Q$39),"")</f>
        <v/>
      </c>
      <c r="K21" s="55" t="str">
        <f>IF(AND('Mapa final'!$AA$40="Alta",'Mapa final'!$AC$40="Leve"),CONCATENATE("R6C",'Mapa final'!$Q$40),"")</f>
        <v/>
      </c>
      <c r="L21" s="55" t="str">
        <f>IF(AND('Mapa final'!$AA$41="Alta",'Mapa final'!$AC$41="Leve"),CONCATENATE("R6C",'Mapa final'!$Q$41),"")</f>
        <v/>
      </c>
      <c r="M21" s="55" t="str">
        <f>IF(AND('Mapa final'!$AA$42="Alta",'Mapa final'!$AC$42="Leve"),CONCATENATE("R6C",'Mapa final'!$Q$42),"")</f>
        <v/>
      </c>
      <c r="N21" s="55" t="str">
        <f>IF(AND('Mapa final'!$AA$43="Alta",'Mapa final'!$AC$43="Leve"),CONCATENATE("R6C",'Mapa final'!$Q$43),"")</f>
        <v/>
      </c>
      <c r="O21" s="56" t="str">
        <f>IF(AND('Mapa final'!$AA$44="Alta",'Mapa final'!$AC$44="Leve"),CONCATENATE("R6C",'Mapa final'!$Q$44),"")</f>
        <v/>
      </c>
      <c r="P21" s="54" t="str">
        <f>IF(AND('Mapa final'!$AA$39="Alta",'Mapa final'!$AC$39="Menor"),CONCATENATE("R6C",'Mapa final'!$Q$39),"")</f>
        <v/>
      </c>
      <c r="Q21" s="55" t="str">
        <f>IF(AND('Mapa final'!$AA$40="Alta",'Mapa final'!$AC$40="Menor"),CONCATENATE("R6C",'Mapa final'!$Q$40),"")</f>
        <v/>
      </c>
      <c r="R21" s="55" t="str">
        <f>IF(AND('Mapa final'!$AA$41="Alta",'Mapa final'!$AC$41="Menor"),CONCATENATE("R6C",'Mapa final'!$Q$41),"")</f>
        <v/>
      </c>
      <c r="S21" s="55" t="str">
        <f>IF(AND('Mapa final'!$AA$42="Alta",'Mapa final'!$AC$42="Menor"),CONCATENATE("R6C",'Mapa final'!$Q$42),"")</f>
        <v/>
      </c>
      <c r="T21" s="55" t="str">
        <f>IF(AND('Mapa final'!$AA$43="Alta",'Mapa final'!$AC$43="Menor"),CONCATENATE("R6C",'Mapa final'!$Q$43),"")</f>
        <v/>
      </c>
      <c r="U21" s="56" t="str">
        <f>IF(AND('Mapa final'!$AA$44="Alta",'Mapa final'!$AC$44="Menor"),CONCATENATE("R6C",'Mapa final'!$Q$44),"")</f>
        <v/>
      </c>
      <c r="V21" s="38" t="str">
        <f>IF(AND('Mapa final'!$AA$39="Alta",'Mapa final'!$AC$39="Moderado"),CONCATENATE("R6C",'Mapa final'!$Q$39),"")</f>
        <v/>
      </c>
      <c r="W21" s="39" t="str">
        <f>IF(AND('Mapa final'!$AA$40="Alta",'Mapa final'!$AC$40="Moderado"),CONCATENATE("R6C",'Mapa final'!$Q$40),"")</f>
        <v/>
      </c>
      <c r="X21" s="44" t="str">
        <f>IF(AND('Mapa final'!$AA$41="Alta",'Mapa final'!$AC$41="Moderado"),CONCATENATE("R6C",'Mapa final'!$Q$41),"")</f>
        <v/>
      </c>
      <c r="Y21" s="44" t="str">
        <f>IF(AND('Mapa final'!$AA$42="Alta",'Mapa final'!$AC$42="Moderado"),CONCATENATE("R6C",'Mapa final'!$Q$42),"")</f>
        <v/>
      </c>
      <c r="Z21" s="44" t="str">
        <f>IF(AND('Mapa final'!$AA$43="Alta",'Mapa final'!$AC$43="Moderado"),CONCATENATE("R6C",'Mapa final'!$Q$43),"")</f>
        <v/>
      </c>
      <c r="AA21" s="40" t="str">
        <f>IF(AND('Mapa final'!$AA$44="Alta",'Mapa final'!$AC$44="Moderado"),CONCATENATE("R6C",'Mapa final'!$Q$44),"")</f>
        <v/>
      </c>
      <c r="AB21" s="38" t="str">
        <f>IF(AND('Mapa final'!$AA$39="Alta",'Mapa final'!$AC$39="Mayor"),CONCATENATE("R6C",'Mapa final'!$Q$39),"")</f>
        <v/>
      </c>
      <c r="AC21" s="39" t="str">
        <f>IF(AND('Mapa final'!$AA$40="Alta",'Mapa final'!$AC$40="Mayor"),CONCATENATE("R6C",'Mapa final'!$Q$40),"")</f>
        <v/>
      </c>
      <c r="AD21" s="44" t="str">
        <f>IF(AND('Mapa final'!$AA$41="Alta",'Mapa final'!$AC$41="Mayor"),CONCATENATE("R6C",'Mapa final'!$Q$41),"")</f>
        <v/>
      </c>
      <c r="AE21" s="44" t="str">
        <f>IF(AND('Mapa final'!$AA$42="Alta",'Mapa final'!$AC$42="Mayor"),CONCATENATE("R6C",'Mapa final'!$Q$42),"")</f>
        <v/>
      </c>
      <c r="AF21" s="44" t="str">
        <f>IF(AND('Mapa final'!$AA$43="Alta",'Mapa final'!$AC$43="Mayor"),CONCATENATE("R6C",'Mapa final'!$Q$43),"")</f>
        <v/>
      </c>
      <c r="AG21" s="40" t="str">
        <f>IF(AND('Mapa final'!$AA$44="Alta",'Mapa final'!$AC$44="Mayor"),CONCATENATE("R6C",'Mapa final'!$Q$44),"")</f>
        <v/>
      </c>
      <c r="AH21" s="41" t="str">
        <f>IF(AND('Mapa final'!$AA$39="Alta",'Mapa final'!$AC$39="Catastrófico"),CONCATENATE("R6C",'Mapa final'!$Q$39),"")</f>
        <v/>
      </c>
      <c r="AI21" s="42" t="str">
        <f>IF(AND('Mapa final'!$AA$40="Alta",'Mapa final'!$AC$40="Catastrófico"),CONCATENATE("R6C",'Mapa final'!$Q$40),"")</f>
        <v/>
      </c>
      <c r="AJ21" s="42" t="str">
        <f>IF(AND('Mapa final'!$AA$41="Alta",'Mapa final'!$AC$41="Catastrófico"),CONCATENATE("R6C",'Mapa final'!$Q$41),"")</f>
        <v/>
      </c>
      <c r="AK21" s="42" t="str">
        <f>IF(AND('Mapa final'!$AA$42="Alta",'Mapa final'!$AC$42="Catastrófico"),CONCATENATE("R6C",'Mapa final'!$Q$42),"")</f>
        <v/>
      </c>
      <c r="AL21" s="42" t="str">
        <f>IF(AND('Mapa final'!$AA$43="Alta",'Mapa final'!$AC$43="Catastrófico"),CONCATENATE("R6C",'Mapa final'!$Q$43),"")</f>
        <v/>
      </c>
      <c r="AM21" s="43" t="str">
        <f>IF(AND('Mapa final'!$AA$44="Alta",'Mapa final'!$AC$44="Catastrófico"),CONCATENATE("R6C",'Mapa final'!$Q$44),"")</f>
        <v/>
      </c>
      <c r="AN21" s="70"/>
      <c r="AO21" s="332"/>
      <c r="AP21" s="333"/>
      <c r="AQ21" s="333"/>
      <c r="AR21" s="333"/>
      <c r="AS21" s="333"/>
      <c r="AT21" s="334"/>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41"/>
      <c r="C22" s="241"/>
      <c r="D22" s="242"/>
      <c r="E22" s="342"/>
      <c r="F22" s="343"/>
      <c r="G22" s="343"/>
      <c r="H22" s="343"/>
      <c r="I22" s="341"/>
      <c r="J22" s="54" t="str">
        <f>IF(AND('Mapa final'!$AA$45="Alta",'Mapa final'!$AC$45="Leve"),CONCATENATE("R7C",'Mapa final'!$Q$45),"")</f>
        <v/>
      </c>
      <c r="K22" s="55" t="str">
        <f>IF(AND('Mapa final'!$AA$46="Alta",'Mapa final'!$AC$46="Leve"),CONCATENATE("R7C",'Mapa final'!$Q$46),"")</f>
        <v/>
      </c>
      <c r="L22" s="55" t="str">
        <f>IF(AND('Mapa final'!$AA$47="Alta",'Mapa final'!$AC$47="Leve"),CONCATENATE("R7C",'Mapa final'!$Q$47),"")</f>
        <v/>
      </c>
      <c r="M22" s="55" t="str">
        <f>IF(AND('Mapa final'!$AA$48="Alta",'Mapa final'!$AC$48="Leve"),CONCATENATE("R7C",'Mapa final'!$Q$48),"")</f>
        <v/>
      </c>
      <c r="N22" s="55" t="str">
        <f>IF(AND('Mapa final'!$AA$49="Alta",'Mapa final'!$AC$49="Leve"),CONCATENATE("R7C",'Mapa final'!$Q$49),"")</f>
        <v/>
      </c>
      <c r="O22" s="56" t="str">
        <f>IF(AND('Mapa final'!$AA$50="Alta",'Mapa final'!$AC$50="Leve"),CONCATENATE("R7C",'Mapa final'!$Q$50),"")</f>
        <v/>
      </c>
      <c r="P22" s="54" t="str">
        <f>IF(AND('Mapa final'!$AA$45="Alta",'Mapa final'!$AC$45="Menor"),CONCATENATE("R7C",'Mapa final'!$Q$45),"")</f>
        <v/>
      </c>
      <c r="Q22" s="55" t="str">
        <f>IF(AND('Mapa final'!$AA$46="Alta",'Mapa final'!$AC$46="Menor"),CONCATENATE("R7C",'Mapa final'!$Q$46),"")</f>
        <v/>
      </c>
      <c r="R22" s="55" t="str">
        <f>IF(AND('Mapa final'!$AA$47="Alta",'Mapa final'!$AC$47="Menor"),CONCATENATE("R7C",'Mapa final'!$Q$47),"")</f>
        <v/>
      </c>
      <c r="S22" s="55" t="str">
        <f>IF(AND('Mapa final'!$AA$48="Alta",'Mapa final'!$AC$48="Menor"),CONCATENATE("R7C",'Mapa final'!$Q$48),"")</f>
        <v/>
      </c>
      <c r="T22" s="55" t="str">
        <f>IF(AND('Mapa final'!$AA$49="Alta",'Mapa final'!$AC$49="Menor"),CONCATENATE("R7C",'Mapa final'!$Q$49),"")</f>
        <v/>
      </c>
      <c r="U22" s="56" t="str">
        <f>IF(AND('Mapa final'!$AA$50="Alta",'Mapa final'!$AC$50="Menor"),CONCATENATE("R7C",'Mapa final'!$Q$50),"")</f>
        <v/>
      </c>
      <c r="V22" s="38" t="str">
        <f>IF(AND('Mapa final'!$AA$45="Alta",'Mapa final'!$AC$45="Moderado"),CONCATENATE("R7C",'Mapa final'!$Q$45),"")</f>
        <v/>
      </c>
      <c r="W22" s="39" t="str">
        <f>IF(AND('Mapa final'!$AA$46="Alta",'Mapa final'!$AC$46="Moderado"),CONCATENATE("R7C",'Mapa final'!$Q$46),"")</f>
        <v/>
      </c>
      <c r="X22" s="44" t="str">
        <f>IF(AND('Mapa final'!$AA$47="Alta",'Mapa final'!$AC$47="Moderado"),CONCATENATE("R7C",'Mapa final'!$Q$47),"")</f>
        <v/>
      </c>
      <c r="Y22" s="44" t="str">
        <f>IF(AND('Mapa final'!$AA$48="Alta",'Mapa final'!$AC$48="Moderado"),CONCATENATE("R7C",'Mapa final'!$Q$48),"")</f>
        <v/>
      </c>
      <c r="Z22" s="44" t="str">
        <f>IF(AND('Mapa final'!$AA$49="Alta",'Mapa final'!$AC$49="Moderado"),CONCATENATE("R7C",'Mapa final'!$Q$49),"")</f>
        <v/>
      </c>
      <c r="AA22" s="40" t="str">
        <f>IF(AND('Mapa final'!$AA$50="Alta",'Mapa final'!$AC$50="Moderado"),CONCATENATE("R7C",'Mapa final'!$Q$50),"")</f>
        <v/>
      </c>
      <c r="AB22" s="38" t="str">
        <f>IF(AND('Mapa final'!$AA$45="Alta",'Mapa final'!$AC$45="Mayor"),CONCATENATE("R7C",'Mapa final'!$Q$45),"")</f>
        <v/>
      </c>
      <c r="AC22" s="39" t="str">
        <f>IF(AND('Mapa final'!$AA$46="Alta",'Mapa final'!$AC$46="Mayor"),CONCATENATE("R7C",'Mapa final'!$Q$46),"")</f>
        <v/>
      </c>
      <c r="AD22" s="44" t="str">
        <f>IF(AND('Mapa final'!$AA$47="Alta",'Mapa final'!$AC$47="Mayor"),CONCATENATE("R7C",'Mapa final'!$Q$47),"")</f>
        <v/>
      </c>
      <c r="AE22" s="44" t="str">
        <f>IF(AND('Mapa final'!$AA$48="Alta",'Mapa final'!$AC$48="Mayor"),CONCATENATE("R7C",'Mapa final'!$Q$48),"")</f>
        <v/>
      </c>
      <c r="AF22" s="44" t="str">
        <f>IF(AND('Mapa final'!$AA$49="Alta",'Mapa final'!$AC$49="Mayor"),CONCATENATE("R7C",'Mapa final'!$Q$49),"")</f>
        <v/>
      </c>
      <c r="AG22" s="40" t="str">
        <f>IF(AND('Mapa final'!$AA$50="Alta",'Mapa final'!$AC$50="Mayor"),CONCATENATE("R7C",'Mapa final'!$Q$50),"")</f>
        <v/>
      </c>
      <c r="AH22" s="41" t="str">
        <f>IF(AND('Mapa final'!$AA$45="Alta",'Mapa final'!$AC$45="Catastrófico"),CONCATENATE("R7C",'Mapa final'!$Q$45),"")</f>
        <v/>
      </c>
      <c r="AI22" s="42" t="str">
        <f>IF(AND('Mapa final'!$AA$46="Alta",'Mapa final'!$AC$46="Catastrófico"),CONCATENATE("R7C",'Mapa final'!$Q$46),"")</f>
        <v/>
      </c>
      <c r="AJ22" s="42" t="str">
        <f>IF(AND('Mapa final'!$AA$47="Alta",'Mapa final'!$AC$47="Catastrófico"),CONCATENATE("R7C",'Mapa final'!$Q$47),"")</f>
        <v/>
      </c>
      <c r="AK22" s="42" t="str">
        <f>IF(AND('Mapa final'!$AA$48="Alta",'Mapa final'!$AC$48="Catastrófico"),CONCATENATE("R7C",'Mapa final'!$Q$48),"")</f>
        <v/>
      </c>
      <c r="AL22" s="42" t="str">
        <f>IF(AND('Mapa final'!$AA$49="Alta",'Mapa final'!$AC$49="Catastrófico"),CONCATENATE("R7C",'Mapa final'!$Q$49),"")</f>
        <v/>
      </c>
      <c r="AM22" s="43" t="str">
        <f>IF(AND('Mapa final'!$AA$50="Alta",'Mapa final'!$AC$50="Catastrófico"),CONCATENATE("R7C",'Mapa final'!$Q$50),"")</f>
        <v/>
      </c>
      <c r="AN22" s="70"/>
      <c r="AO22" s="332"/>
      <c r="AP22" s="333"/>
      <c r="AQ22" s="333"/>
      <c r="AR22" s="333"/>
      <c r="AS22" s="333"/>
      <c r="AT22" s="334"/>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41"/>
      <c r="C23" s="241"/>
      <c r="D23" s="242"/>
      <c r="E23" s="342"/>
      <c r="F23" s="343"/>
      <c r="G23" s="343"/>
      <c r="H23" s="343"/>
      <c r="I23" s="341"/>
      <c r="J23" s="54" t="str">
        <f>IF(AND('Mapa final'!$AA$51="Alta",'Mapa final'!$AC$51="Leve"),CONCATENATE("R8C",'Mapa final'!$Q$51),"")</f>
        <v/>
      </c>
      <c r="K23" s="55" t="str">
        <f>IF(AND('Mapa final'!$AA$52="Alta",'Mapa final'!$AC$52="Leve"),CONCATENATE("R8C",'Mapa final'!$Q$52),"")</f>
        <v/>
      </c>
      <c r="L23" s="55" t="str">
        <f>IF(AND('Mapa final'!$AA$53="Alta",'Mapa final'!$AC$53="Leve"),CONCATENATE("R8C",'Mapa final'!$Q$53),"")</f>
        <v/>
      </c>
      <c r="M23" s="55" t="str">
        <f>IF(AND('Mapa final'!$AA$54="Alta",'Mapa final'!$AC$54="Leve"),CONCATENATE("R8C",'Mapa final'!$Q$54),"")</f>
        <v/>
      </c>
      <c r="N23" s="55" t="str">
        <f>IF(AND('Mapa final'!$AA$55="Alta",'Mapa final'!$AC$55="Leve"),CONCATENATE("R8C",'Mapa final'!$Q$55),"")</f>
        <v/>
      </c>
      <c r="O23" s="56" t="str">
        <f>IF(AND('Mapa final'!$AA$56="Alta",'Mapa final'!$AC$56="Leve"),CONCATENATE("R8C",'Mapa final'!$Q$56),"")</f>
        <v/>
      </c>
      <c r="P23" s="54" t="str">
        <f>IF(AND('Mapa final'!$AA$51="Alta",'Mapa final'!$AC$51="Menor"),CONCATENATE("R8C",'Mapa final'!$Q$51),"")</f>
        <v/>
      </c>
      <c r="Q23" s="55" t="str">
        <f>IF(AND('Mapa final'!$AA$52="Alta",'Mapa final'!$AC$52="Menor"),CONCATENATE("R8C",'Mapa final'!$Q$52),"")</f>
        <v/>
      </c>
      <c r="R23" s="55" t="str">
        <f>IF(AND('Mapa final'!$AA$53="Alta",'Mapa final'!$AC$53="Menor"),CONCATENATE("R8C",'Mapa final'!$Q$53),"")</f>
        <v/>
      </c>
      <c r="S23" s="55" t="str">
        <f>IF(AND('Mapa final'!$AA$54="Alta",'Mapa final'!$AC$54="Menor"),CONCATENATE("R8C",'Mapa final'!$Q$54),"")</f>
        <v/>
      </c>
      <c r="T23" s="55" t="str">
        <f>IF(AND('Mapa final'!$AA$55="Alta",'Mapa final'!$AC$55="Menor"),CONCATENATE("R8C",'Mapa final'!$Q$55),"")</f>
        <v/>
      </c>
      <c r="U23" s="56" t="str">
        <f>IF(AND('Mapa final'!$AA$56="Alta",'Mapa final'!$AC$56="Menor"),CONCATENATE("R8C",'Mapa final'!$Q$56),"")</f>
        <v/>
      </c>
      <c r="V23" s="38" t="str">
        <f>IF(AND('Mapa final'!$AA$51="Alta",'Mapa final'!$AC$51="Moderado"),CONCATENATE("R8C",'Mapa final'!$Q$51),"")</f>
        <v/>
      </c>
      <c r="W23" s="39" t="str">
        <f>IF(AND('Mapa final'!$AA$52="Alta",'Mapa final'!$AC$52="Moderado"),CONCATENATE("R8C",'Mapa final'!$Q$52),"")</f>
        <v/>
      </c>
      <c r="X23" s="44" t="str">
        <f>IF(AND('Mapa final'!$AA$53="Alta",'Mapa final'!$AC$53="Moderado"),CONCATENATE("R8C",'Mapa final'!$Q$53),"")</f>
        <v/>
      </c>
      <c r="Y23" s="44" t="str">
        <f>IF(AND('Mapa final'!$AA$54="Alta",'Mapa final'!$AC$54="Moderado"),CONCATENATE("R8C",'Mapa final'!$Q$54),"")</f>
        <v/>
      </c>
      <c r="Z23" s="44" t="str">
        <f>IF(AND('Mapa final'!$AA$55="Alta",'Mapa final'!$AC$55="Moderado"),CONCATENATE("R8C",'Mapa final'!$Q$55),"")</f>
        <v/>
      </c>
      <c r="AA23" s="40" t="str">
        <f>IF(AND('Mapa final'!$AA$56="Alta",'Mapa final'!$AC$56="Moderado"),CONCATENATE("R8C",'Mapa final'!$Q$56),"")</f>
        <v/>
      </c>
      <c r="AB23" s="38" t="str">
        <f>IF(AND('Mapa final'!$AA$51="Alta",'Mapa final'!$AC$51="Mayor"),CONCATENATE("R8C",'Mapa final'!$Q$51),"")</f>
        <v/>
      </c>
      <c r="AC23" s="39" t="str">
        <f>IF(AND('Mapa final'!$AA$52="Alta",'Mapa final'!$AC$52="Mayor"),CONCATENATE("R8C",'Mapa final'!$Q$52),"")</f>
        <v/>
      </c>
      <c r="AD23" s="44" t="str">
        <f>IF(AND('Mapa final'!$AA$53="Alta",'Mapa final'!$AC$53="Mayor"),CONCATENATE("R8C",'Mapa final'!$Q$53),"")</f>
        <v/>
      </c>
      <c r="AE23" s="44" t="str">
        <f>IF(AND('Mapa final'!$AA$54="Alta",'Mapa final'!$AC$54="Mayor"),CONCATENATE("R8C",'Mapa final'!$Q$54),"")</f>
        <v/>
      </c>
      <c r="AF23" s="44" t="str">
        <f>IF(AND('Mapa final'!$AA$55="Alta",'Mapa final'!$AC$55="Mayor"),CONCATENATE("R8C",'Mapa final'!$Q$55),"")</f>
        <v/>
      </c>
      <c r="AG23" s="40" t="str">
        <f>IF(AND('Mapa final'!$AA$56="Alta",'Mapa final'!$AC$56="Mayor"),CONCATENATE("R8C",'Mapa final'!$Q$56),"")</f>
        <v/>
      </c>
      <c r="AH23" s="41" t="str">
        <f>IF(AND('Mapa final'!$AA$51="Alta",'Mapa final'!$AC$51="Catastrófico"),CONCATENATE("R8C",'Mapa final'!$Q$51),"")</f>
        <v/>
      </c>
      <c r="AI23" s="42" t="str">
        <f>IF(AND('Mapa final'!$AA$52="Alta",'Mapa final'!$AC$52="Catastrófico"),CONCATENATE("R8C",'Mapa final'!$Q$52),"")</f>
        <v/>
      </c>
      <c r="AJ23" s="42" t="str">
        <f>IF(AND('Mapa final'!$AA$53="Alta",'Mapa final'!$AC$53="Catastrófico"),CONCATENATE("R8C",'Mapa final'!$Q$53),"")</f>
        <v/>
      </c>
      <c r="AK23" s="42" t="str">
        <f>IF(AND('Mapa final'!$AA$54="Alta",'Mapa final'!$AC$54="Catastrófico"),CONCATENATE("R8C",'Mapa final'!$Q$54),"")</f>
        <v/>
      </c>
      <c r="AL23" s="42" t="str">
        <f>IF(AND('Mapa final'!$AA$55="Alta",'Mapa final'!$AC$55="Catastrófico"),CONCATENATE("R8C",'Mapa final'!$Q$55),"")</f>
        <v/>
      </c>
      <c r="AM23" s="43" t="str">
        <f>IF(AND('Mapa final'!$AA$56="Alta",'Mapa final'!$AC$56="Catastrófico"),CONCATENATE("R8C",'Mapa final'!$Q$56),"")</f>
        <v/>
      </c>
      <c r="AN23" s="70"/>
      <c r="AO23" s="332"/>
      <c r="AP23" s="333"/>
      <c r="AQ23" s="333"/>
      <c r="AR23" s="333"/>
      <c r="AS23" s="333"/>
      <c r="AT23" s="334"/>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41"/>
      <c r="C24" s="241"/>
      <c r="D24" s="242"/>
      <c r="E24" s="342"/>
      <c r="F24" s="343"/>
      <c r="G24" s="343"/>
      <c r="H24" s="343"/>
      <c r="I24" s="341"/>
      <c r="J24" s="54" t="str">
        <f>IF(AND('Mapa final'!$AA$57="Alta",'Mapa final'!$AC$57="Leve"),CONCATENATE("R9C",'Mapa final'!$Q$57),"")</f>
        <v/>
      </c>
      <c r="K24" s="55" t="str">
        <f>IF(AND('Mapa final'!$AA$58="Alta",'Mapa final'!$AC$58="Leve"),CONCATENATE("R9C",'Mapa final'!$Q$58),"")</f>
        <v/>
      </c>
      <c r="L24" s="55" t="str">
        <f>IF(AND('Mapa final'!$AA$59="Alta",'Mapa final'!$AC$59="Leve"),CONCATENATE("R9C",'Mapa final'!$Q$59),"")</f>
        <v/>
      </c>
      <c r="M24" s="55" t="str">
        <f>IF(AND('Mapa final'!$AA$60="Alta",'Mapa final'!$AC$60="Leve"),CONCATENATE("R9C",'Mapa final'!$Q$60),"")</f>
        <v/>
      </c>
      <c r="N24" s="55" t="str">
        <f>IF(AND('Mapa final'!$AA$61="Alta",'Mapa final'!$AC$61="Leve"),CONCATENATE("R9C",'Mapa final'!$Q$61),"")</f>
        <v/>
      </c>
      <c r="O24" s="56" t="str">
        <f>IF(AND('Mapa final'!$AA$62="Alta",'Mapa final'!$AC$62="Leve"),CONCATENATE("R9C",'Mapa final'!$Q$62),"")</f>
        <v/>
      </c>
      <c r="P24" s="54" t="str">
        <f>IF(AND('Mapa final'!$AA$57="Alta",'Mapa final'!$AC$57="Menor"),CONCATENATE("R9C",'Mapa final'!$Q$57),"")</f>
        <v/>
      </c>
      <c r="Q24" s="55" t="str">
        <f>IF(AND('Mapa final'!$AA$58="Alta",'Mapa final'!$AC$58="Menor"),CONCATENATE("R9C",'Mapa final'!$Q$58),"")</f>
        <v/>
      </c>
      <c r="R24" s="55" t="str">
        <f>IF(AND('Mapa final'!$AA$59="Alta",'Mapa final'!$AC$59="Menor"),CONCATENATE("R9C",'Mapa final'!$Q$59),"")</f>
        <v/>
      </c>
      <c r="S24" s="55" t="str">
        <f>IF(AND('Mapa final'!$AA$60="Alta",'Mapa final'!$AC$60="Menor"),CONCATENATE("R9C",'Mapa final'!$Q$60),"")</f>
        <v/>
      </c>
      <c r="T24" s="55" t="str">
        <f>IF(AND('Mapa final'!$AA$61="Alta",'Mapa final'!$AC$61="Menor"),CONCATENATE("R9C",'Mapa final'!$Q$61),"")</f>
        <v/>
      </c>
      <c r="U24" s="56" t="str">
        <f>IF(AND('Mapa final'!$AA$62="Alta",'Mapa final'!$AC$62="Menor"),CONCATENATE("R9C",'Mapa final'!$Q$62),"")</f>
        <v/>
      </c>
      <c r="V24" s="38" t="str">
        <f>IF(AND('Mapa final'!$AA$57="Alta",'Mapa final'!$AC$57="Moderado"),CONCATENATE("R9C",'Mapa final'!$Q$57),"")</f>
        <v/>
      </c>
      <c r="W24" s="39" t="str">
        <f>IF(AND('Mapa final'!$AA$58="Alta",'Mapa final'!$AC$58="Moderado"),CONCATENATE("R9C",'Mapa final'!$Q$58),"")</f>
        <v/>
      </c>
      <c r="X24" s="44" t="str">
        <f>IF(AND('Mapa final'!$AA$59="Alta",'Mapa final'!$AC$59="Moderado"),CONCATENATE("R9C",'Mapa final'!$Q$59),"")</f>
        <v/>
      </c>
      <c r="Y24" s="44" t="str">
        <f>IF(AND('Mapa final'!$AA$60="Alta",'Mapa final'!$AC$60="Moderado"),CONCATENATE("R9C",'Mapa final'!$Q$60),"")</f>
        <v/>
      </c>
      <c r="Z24" s="44" t="str">
        <f>IF(AND('Mapa final'!$AA$61="Alta",'Mapa final'!$AC$61="Moderado"),CONCATENATE("R9C",'Mapa final'!$Q$61),"")</f>
        <v/>
      </c>
      <c r="AA24" s="40" t="str">
        <f>IF(AND('Mapa final'!$AA$62="Alta",'Mapa final'!$AC$62="Moderado"),CONCATENATE("R9C",'Mapa final'!$Q$62),"")</f>
        <v/>
      </c>
      <c r="AB24" s="38" t="str">
        <f>IF(AND('Mapa final'!$AA$57="Alta",'Mapa final'!$AC$57="Mayor"),CONCATENATE("R9C",'Mapa final'!$Q$57),"")</f>
        <v/>
      </c>
      <c r="AC24" s="39" t="str">
        <f>IF(AND('Mapa final'!$AA$58="Alta",'Mapa final'!$AC$58="Mayor"),CONCATENATE("R9C",'Mapa final'!$Q$58),"")</f>
        <v/>
      </c>
      <c r="AD24" s="44" t="str">
        <f>IF(AND('Mapa final'!$AA$59="Alta",'Mapa final'!$AC$59="Mayor"),CONCATENATE("R9C",'Mapa final'!$Q$59),"")</f>
        <v/>
      </c>
      <c r="AE24" s="44" t="str">
        <f>IF(AND('Mapa final'!$AA$60="Alta",'Mapa final'!$AC$60="Mayor"),CONCATENATE("R9C",'Mapa final'!$Q$60),"")</f>
        <v/>
      </c>
      <c r="AF24" s="44" t="str">
        <f>IF(AND('Mapa final'!$AA$61="Alta",'Mapa final'!$AC$61="Mayor"),CONCATENATE("R9C",'Mapa final'!$Q$61),"")</f>
        <v/>
      </c>
      <c r="AG24" s="40" t="str">
        <f>IF(AND('Mapa final'!$AA$62="Alta",'Mapa final'!$AC$62="Mayor"),CONCATENATE("R9C",'Mapa final'!$Q$62),"")</f>
        <v/>
      </c>
      <c r="AH24" s="41" t="str">
        <f>IF(AND('Mapa final'!$AA$57="Alta",'Mapa final'!$AC$57="Catastrófico"),CONCATENATE("R9C",'Mapa final'!$Q$57),"")</f>
        <v/>
      </c>
      <c r="AI24" s="42" t="str">
        <f>IF(AND('Mapa final'!$AA$58="Alta",'Mapa final'!$AC$58="Catastrófico"),CONCATENATE("R9C",'Mapa final'!$Q$58),"")</f>
        <v/>
      </c>
      <c r="AJ24" s="42" t="str">
        <f>IF(AND('Mapa final'!$AA$59="Alta",'Mapa final'!$AC$59="Catastrófico"),CONCATENATE("R9C",'Mapa final'!$Q$59),"")</f>
        <v/>
      </c>
      <c r="AK24" s="42" t="str">
        <f>IF(AND('Mapa final'!$AA$60="Alta",'Mapa final'!$AC$60="Catastrófico"),CONCATENATE("R9C",'Mapa final'!$Q$60),"")</f>
        <v/>
      </c>
      <c r="AL24" s="42" t="str">
        <f>IF(AND('Mapa final'!$AA$61="Alta",'Mapa final'!$AC$61="Catastrófico"),CONCATENATE("R9C",'Mapa final'!$Q$61),"")</f>
        <v/>
      </c>
      <c r="AM24" s="43" t="str">
        <f>IF(AND('Mapa final'!$AA$62="Alta",'Mapa final'!$AC$62="Catastrófico"),CONCATENATE("R9C",'Mapa final'!$Q$62),"")</f>
        <v/>
      </c>
      <c r="AN24" s="70"/>
      <c r="AO24" s="332"/>
      <c r="AP24" s="333"/>
      <c r="AQ24" s="333"/>
      <c r="AR24" s="333"/>
      <c r="AS24" s="333"/>
      <c r="AT24" s="334"/>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41"/>
      <c r="C25" s="241"/>
      <c r="D25" s="242"/>
      <c r="E25" s="344"/>
      <c r="F25" s="345"/>
      <c r="G25" s="345"/>
      <c r="H25" s="345"/>
      <c r="I25" s="345"/>
      <c r="J25" s="57" t="str">
        <f>IF(AND('Mapa final'!$AA$63="Alta",'Mapa final'!$AC$63="Leve"),CONCATENATE("R10C",'Mapa final'!$Q$63),"")</f>
        <v/>
      </c>
      <c r="K25" s="58" t="str">
        <f>IF(AND('Mapa final'!$AA$64="Alta",'Mapa final'!$AC$64="Leve"),CONCATENATE("R10C",'Mapa final'!$Q$64),"")</f>
        <v/>
      </c>
      <c r="L25" s="58" t="str">
        <f>IF(AND('Mapa final'!$AA$65="Alta",'Mapa final'!$AC$65="Leve"),CONCATENATE("R10C",'Mapa final'!$Q$65),"")</f>
        <v/>
      </c>
      <c r="M25" s="58" t="str">
        <f>IF(AND('Mapa final'!$AA$66="Alta",'Mapa final'!$AC$66="Leve"),CONCATENATE("R10C",'Mapa final'!$Q$66),"")</f>
        <v/>
      </c>
      <c r="N25" s="58" t="str">
        <f>IF(AND('Mapa final'!$AA$67="Alta",'Mapa final'!$AC$67="Leve"),CONCATENATE("R10C",'Mapa final'!$Q$67),"")</f>
        <v/>
      </c>
      <c r="O25" s="59" t="str">
        <f>IF(AND('Mapa final'!$AA$68="Alta",'Mapa final'!$AC$68="Leve"),CONCATENATE("R10C",'Mapa final'!$Q$68),"")</f>
        <v/>
      </c>
      <c r="P25" s="57" t="str">
        <f>IF(AND('Mapa final'!$AA$63="Alta",'Mapa final'!$AC$63="Menor"),CONCATENATE("R10C",'Mapa final'!$Q$63),"")</f>
        <v/>
      </c>
      <c r="Q25" s="58" t="str">
        <f>IF(AND('Mapa final'!$AA$64="Alta",'Mapa final'!$AC$64="Menor"),CONCATENATE("R10C",'Mapa final'!$Q$64),"")</f>
        <v/>
      </c>
      <c r="R25" s="58" t="str">
        <f>IF(AND('Mapa final'!$AA$65="Alta",'Mapa final'!$AC$65="Menor"),CONCATENATE("R10C",'Mapa final'!$Q$65),"")</f>
        <v/>
      </c>
      <c r="S25" s="58" t="str">
        <f>IF(AND('Mapa final'!$AA$66="Alta",'Mapa final'!$AC$66="Menor"),CONCATENATE("R10C",'Mapa final'!$Q$66),"")</f>
        <v/>
      </c>
      <c r="T25" s="58" t="str">
        <f>IF(AND('Mapa final'!$AA$67="Alta",'Mapa final'!$AC$67="Menor"),CONCATENATE("R10C",'Mapa final'!$Q$67),"")</f>
        <v/>
      </c>
      <c r="U25" s="59" t="str">
        <f>IF(AND('Mapa final'!$AA$68="Alta",'Mapa final'!$AC$68="Menor"),CONCATENATE("R10C",'Mapa final'!$Q$68),"")</f>
        <v/>
      </c>
      <c r="V25" s="45" t="str">
        <f>IF(AND('Mapa final'!$AA$63="Alta",'Mapa final'!$AC$63="Moderado"),CONCATENATE("R10C",'Mapa final'!$Q$63),"")</f>
        <v/>
      </c>
      <c r="W25" s="46" t="str">
        <f>IF(AND('Mapa final'!$AA$64="Alta",'Mapa final'!$AC$64="Moderado"),CONCATENATE("R10C",'Mapa final'!$Q$64),"")</f>
        <v/>
      </c>
      <c r="X25" s="46" t="str">
        <f>IF(AND('Mapa final'!$AA$65="Alta",'Mapa final'!$AC$65="Moderado"),CONCATENATE("R10C",'Mapa final'!$Q$65),"")</f>
        <v/>
      </c>
      <c r="Y25" s="46" t="str">
        <f>IF(AND('Mapa final'!$AA$66="Alta",'Mapa final'!$AC$66="Moderado"),CONCATENATE("R10C",'Mapa final'!$Q$66),"")</f>
        <v/>
      </c>
      <c r="Z25" s="46" t="str">
        <f>IF(AND('Mapa final'!$AA$67="Alta",'Mapa final'!$AC$67="Moderado"),CONCATENATE("R10C",'Mapa final'!$Q$67),"")</f>
        <v/>
      </c>
      <c r="AA25" s="47" t="str">
        <f>IF(AND('Mapa final'!$AA$68="Alta",'Mapa final'!$AC$68="Moderado"),CONCATENATE("R10C",'Mapa final'!$Q$68),"")</f>
        <v/>
      </c>
      <c r="AB25" s="45" t="str">
        <f>IF(AND('Mapa final'!$AA$63="Alta",'Mapa final'!$AC$63="Mayor"),CONCATENATE("R10C",'Mapa final'!$Q$63),"")</f>
        <v/>
      </c>
      <c r="AC25" s="46" t="str">
        <f>IF(AND('Mapa final'!$AA$64="Alta",'Mapa final'!$AC$64="Mayor"),CONCATENATE("R10C",'Mapa final'!$Q$64),"")</f>
        <v/>
      </c>
      <c r="AD25" s="46" t="str">
        <f>IF(AND('Mapa final'!$AA$65="Alta",'Mapa final'!$AC$65="Mayor"),CONCATENATE("R10C",'Mapa final'!$Q$65),"")</f>
        <v/>
      </c>
      <c r="AE25" s="46" t="str">
        <f>IF(AND('Mapa final'!$AA$66="Alta",'Mapa final'!$AC$66="Mayor"),CONCATENATE("R10C",'Mapa final'!$Q$66),"")</f>
        <v/>
      </c>
      <c r="AF25" s="46" t="str">
        <f>IF(AND('Mapa final'!$AA$67="Alta",'Mapa final'!$AC$67="Mayor"),CONCATENATE("R10C",'Mapa final'!$Q$67),"")</f>
        <v/>
      </c>
      <c r="AG25" s="47" t="str">
        <f>IF(AND('Mapa final'!$AA$68="Alta",'Mapa final'!$AC$68="Mayor"),CONCATENATE("R10C",'Mapa final'!$Q$68),"")</f>
        <v/>
      </c>
      <c r="AH25" s="48" t="str">
        <f>IF(AND('Mapa final'!$AA$63="Alta",'Mapa final'!$AC$63="Catastrófico"),CONCATENATE("R10C",'Mapa final'!$Q$63),"")</f>
        <v/>
      </c>
      <c r="AI25" s="49" t="str">
        <f>IF(AND('Mapa final'!$AA$64="Alta",'Mapa final'!$AC$64="Catastrófico"),CONCATENATE("R10C",'Mapa final'!$Q$64),"")</f>
        <v/>
      </c>
      <c r="AJ25" s="49" t="str">
        <f>IF(AND('Mapa final'!$AA$65="Alta",'Mapa final'!$AC$65="Catastrófico"),CONCATENATE("R10C",'Mapa final'!$Q$65),"")</f>
        <v/>
      </c>
      <c r="AK25" s="49" t="str">
        <f>IF(AND('Mapa final'!$AA$66="Alta",'Mapa final'!$AC$66="Catastrófico"),CONCATENATE("R10C",'Mapa final'!$Q$66),"")</f>
        <v/>
      </c>
      <c r="AL25" s="49" t="str">
        <f>IF(AND('Mapa final'!$AA$67="Alta",'Mapa final'!$AC$67="Catastrófico"),CONCATENATE("R10C",'Mapa final'!$Q$67),"")</f>
        <v/>
      </c>
      <c r="AM25" s="50" t="str">
        <f>IF(AND('Mapa final'!$AA$68="Alta",'Mapa final'!$AC$68="Catastrófico"),CONCATENATE("R10C",'Mapa final'!$Q$68),"")</f>
        <v/>
      </c>
      <c r="AN25" s="70"/>
      <c r="AO25" s="335"/>
      <c r="AP25" s="336"/>
      <c r="AQ25" s="336"/>
      <c r="AR25" s="336"/>
      <c r="AS25" s="336"/>
      <c r="AT25" s="337"/>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41"/>
      <c r="C26" s="241"/>
      <c r="D26" s="242"/>
      <c r="E26" s="338" t="s">
        <v>113</v>
      </c>
      <c r="F26" s="339"/>
      <c r="G26" s="339"/>
      <c r="H26" s="339"/>
      <c r="I26" s="357"/>
      <c r="J26" s="51" t="str">
        <f>IF(AND('Mapa final'!$AA$9="Media",'Mapa final'!$AC$9="Leve"),CONCATENATE("R1C",'Mapa final'!$Q$9),"")</f>
        <v/>
      </c>
      <c r="K26" s="52" t="str">
        <f>IF(AND('Mapa final'!$AA$10="Media",'Mapa final'!$AC$10="Leve"),CONCATENATE("R1C",'Mapa final'!$Q$10),"")</f>
        <v/>
      </c>
      <c r="L26" s="52" t="str">
        <f>IF(AND('Mapa final'!$AA$11="Media",'Mapa final'!$AC$11="Leve"),CONCATENATE("R1C",'Mapa final'!$Q$11),"")</f>
        <v/>
      </c>
      <c r="M26" s="52" t="str">
        <f>IF(AND('Mapa final'!$AA$12="Media",'Mapa final'!$AC$12="Leve"),CONCATENATE("R1C",'Mapa final'!$Q$12),"")</f>
        <v/>
      </c>
      <c r="N26" s="52" t="str">
        <f>IF(AND('Mapa final'!$AA$13="Media",'Mapa final'!$AC$13="Leve"),CONCATENATE("R1C",'Mapa final'!$Q$13),"")</f>
        <v/>
      </c>
      <c r="O26" s="53" t="str">
        <f>IF(AND('Mapa final'!$AA$14="Media",'Mapa final'!$AC$14="Leve"),CONCATENATE("R1C",'Mapa final'!$Q$14),"")</f>
        <v/>
      </c>
      <c r="P26" s="51" t="str">
        <f>IF(AND('Mapa final'!$AA$9="Media",'Mapa final'!$AC$9="Menor"),CONCATENATE("R1C",'Mapa final'!$Q$9),"")</f>
        <v/>
      </c>
      <c r="Q26" s="52" t="str">
        <f>IF(AND('Mapa final'!$AA$10="Media",'Mapa final'!$AC$10="Menor"),CONCATENATE("R1C",'Mapa final'!$Q$10),"")</f>
        <v/>
      </c>
      <c r="R26" s="52" t="str">
        <f>IF(AND('Mapa final'!$AA$11="Media",'Mapa final'!$AC$11="Menor"),CONCATENATE("R1C",'Mapa final'!$Q$11),"")</f>
        <v/>
      </c>
      <c r="S26" s="52" t="str">
        <f>IF(AND('Mapa final'!$AA$12="Media",'Mapa final'!$AC$12="Menor"),CONCATENATE("R1C",'Mapa final'!$Q$12),"")</f>
        <v/>
      </c>
      <c r="T26" s="52" t="str">
        <f>IF(AND('Mapa final'!$AA$13="Media",'Mapa final'!$AC$13="Menor"),CONCATENATE("R1C",'Mapa final'!$Q$13),"")</f>
        <v/>
      </c>
      <c r="U26" s="53" t="str">
        <f>IF(AND('Mapa final'!$AA$14="Media",'Mapa final'!$AC$14="Menor"),CONCATENATE("R1C",'Mapa final'!$Q$14),"")</f>
        <v/>
      </c>
      <c r="V26" s="51" t="str">
        <f>IF(AND('Mapa final'!$AA$9="Media",'Mapa final'!$AC$9="Moderado"),CONCATENATE("R1C",'Mapa final'!$Q$9),"")</f>
        <v/>
      </c>
      <c r="W26" s="52" t="str">
        <f>IF(AND('Mapa final'!$AA$10="Media",'Mapa final'!$AC$10="Moderado"),CONCATENATE("R1C",'Mapa final'!$Q$10),"")</f>
        <v/>
      </c>
      <c r="X26" s="52" t="str">
        <f>IF(AND('Mapa final'!$AA$11="Media",'Mapa final'!$AC$11="Moderado"),CONCATENATE("R1C",'Mapa final'!$Q$11),"")</f>
        <v/>
      </c>
      <c r="Y26" s="52" t="str">
        <f>IF(AND('Mapa final'!$AA$12="Media",'Mapa final'!$AC$12="Moderado"),CONCATENATE("R1C",'Mapa final'!$Q$12),"")</f>
        <v/>
      </c>
      <c r="Z26" s="52" t="str">
        <f>IF(AND('Mapa final'!$AA$13="Media",'Mapa final'!$AC$13="Moderado"),CONCATENATE("R1C",'Mapa final'!$Q$13),"")</f>
        <v/>
      </c>
      <c r="AA26" s="53" t="str">
        <f>IF(AND('Mapa final'!$AA$14="Media",'Mapa final'!$AC$14="Moderado"),CONCATENATE("R1C",'Mapa final'!$Q$14),"")</f>
        <v/>
      </c>
      <c r="AB26" s="32" t="str">
        <f>IF(AND('Mapa final'!$AA$9="Media",'Mapa final'!$AC$9="Mayor"),CONCATENATE("R1C",'Mapa final'!$Q$9),"")</f>
        <v/>
      </c>
      <c r="AC26" s="33" t="str">
        <f>IF(AND('Mapa final'!$AA$10="Media",'Mapa final'!$AC$10="Mayor"),CONCATENATE("R1C",'Mapa final'!$Q$10),"")</f>
        <v/>
      </c>
      <c r="AD26" s="33" t="str">
        <f>IF(AND('Mapa final'!$AA$11="Media",'Mapa final'!$AC$11="Mayor"),CONCATENATE("R1C",'Mapa final'!$Q$11),"")</f>
        <v/>
      </c>
      <c r="AE26" s="33" t="str">
        <f>IF(AND('Mapa final'!$AA$12="Media",'Mapa final'!$AC$12="Mayor"),CONCATENATE("R1C",'Mapa final'!$Q$12),"")</f>
        <v/>
      </c>
      <c r="AF26" s="33" t="str">
        <f>IF(AND('Mapa final'!$AA$13="Media",'Mapa final'!$AC$13="Mayor"),CONCATENATE("R1C",'Mapa final'!$Q$13),"")</f>
        <v/>
      </c>
      <c r="AG26" s="34" t="str">
        <f>IF(AND('Mapa final'!$AA$14="Media",'Mapa final'!$AC$14="Mayor"),CONCATENATE("R1C",'Mapa final'!$Q$14),"")</f>
        <v/>
      </c>
      <c r="AH26" s="35" t="str">
        <f>IF(AND('Mapa final'!$AA$9="Media",'Mapa final'!$AC$9="Catastrófico"),CONCATENATE("R1C",'Mapa final'!$Q$9),"")</f>
        <v/>
      </c>
      <c r="AI26" s="36" t="str">
        <f>IF(AND('Mapa final'!$AA$10="Media",'Mapa final'!$AC$10="Catastrófico"),CONCATENATE("R1C",'Mapa final'!$Q$10),"")</f>
        <v/>
      </c>
      <c r="AJ26" s="36" t="str">
        <f>IF(AND('Mapa final'!$AA$11="Media",'Mapa final'!$AC$11="Catastrófico"),CONCATENATE("R1C",'Mapa final'!$Q$11),"")</f>
        <v/>
      </c>
      <c r="AK26" s="36" t="str">
        <f>IF(AND('Mapa final'!$AA$12="Media",'Mapa final'!$AC$12="Catastrófico"),CONCATENATE("R1C",'Mapa final'!$Q$12),"")</f>
        <v/>
      </c>
      <c r="AL26" s="36" t="str">
        <f>IF(AND('Mapa final'!$AA$13="Media",'Mapa final'!$AC$13="Catastrófico"),CONCATENATE("R1C",'Mapa final'!$Q$13),"")</f>
        <v/>
      </c>
      <c r="AM26" s="37" t="str">
        <f>IF(AND('Mapa final'!$AA$14="Media",'Mapa final'!$AC$14="Catastrófico"),CONCATENATE("R1C",'Mapa final'!$Q$14),"")</f>
        <v/>
      </c>
      <c r="AN26" s="70"/>
      <c r="AO26" s="369" t="s">
        <v>77</v>
      </c>
      <c r="AP26" s="370"/>
      <c r="AQ26" s="370"/>
      <c r="AR26" s="370"/>
      <c r="AS26" s="370"/>
      <c r="AT26" s="371"/>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41"/>
      <c r="C27" s="241"/>
      <c r="D27" s="242"/>
      <c r="E27" s="340"/>
      <c r="F27" s="341"/>
      <c r="G27" s="341"/>
      <c r="H27" s="341"/>
      <c r="I27" s="358"/>
      <c r="J27" s="54" t="str">
        <f>IF(AND('Mapa final'!$AA$15="Media",'Mapa final'!$AC$15="Leve"),CONCATENATE("R2C",'Mapa final'!$Q$15),"")</f>
        <v/>
      </c>
      <c r="K27" s="55" t="str">
        <f>IF(AND('Mapa final'!$AA$16="Media",'Mapa final'!$AC$16="Leve"),CONCATENATE("R2C",'Mapa final'!$Q$16),"")</f>
        <v/>
      </c>
      <c r="L27" s="55" t="str">
        <f>IF(AND('Mapa final'!$AA$17="Media",'Mapa final'!$AC$17="Leve"),CONCATENATE("R2C",'Mapa final'!$Q$17),"")</f>
        <v/>
      </c>
      <c r="M27" s="55" t="str">
        <f>IF(AND('Mapa final'!$AA$18="Media",'Mapa final'!$AC$18="Leve"),CONCATENATE("R2C",'Mapa final'!$Q$18),"")</f>
        <v/>
      </c>
      <c r="N27" s="55" t="str">
        <f>IF(AND('Mapa final'!$AA$19="Media",'Mapa final'!$AC$19="Leve"),CONCATENATE("R2C",'Mapa final'!$Q$19),"")</f>
        <v/>
      </c>
      <c r="O27" s="56" t="str">
        <f>IF(AND('Mapa final'!$AA$20="Media",'Mapa final'!$AC$20="Leve"),CONCATENATE("R2C",'Mapa final'!$Q$20),"")</f>
        <v/>
      </c>
      <c r="P27" s="54" t="str">
        <f>IF(AND('Mapa final'!$AA$15="Media",'Mapa final'!$AC$15="Menor"),CONCATENATE("R2C",'Mapa final'!$Q$15),"")</f>
        <v/>
      </c>
      <c r="Q27" s="55" t="str">
        <f>IF(AND('Mapa final'!$AA$16="Media",'Mapa final'!$AC$16="Menor"),CONCATENATE("R2C",'Mapa final'!$Q$16),"")</f>
        <v/>
      </c>
      <c r="R27" s="55" t="str">
        <f>IF(AND('Mapa final'!$AA$17="Media",'Mapa final'!$AC$17="Menor"),CONCATENATE("R2C",'Mapa final'!$Q$17),"")</f>
        <v/>
      </c>
      <c r="S27" s="55" t="str">
        <f>IF(AND('Mapa final'!$AA$18="Media",'Mapa final'!$AC$18="Menor"),CONCATENATE("R2C",'Mapa final'!$Q$18),"")</f>
        <v/>
      </c>
      <c r="T27" s="55" t="str">
        <f>IF(AND('Mapa final'!$AA$19="Media",'Mapa final'!$AC$19="Menor"),CONCATENATE("R2C",'Mapa final'!$Q$19),"")</f>
        <v/>
      </c>
      <c r="U27" s="56" t="str">
        <f>IF(AND('Mapa final'!$AA$20="Media",'Mapa final'!$AC$20="Menor"),CONCATENATE("R2C",'Mapa final'!$Q$20),"")</f>
        <v/>
      </c>
      <c r="V27" s="54" t="str">
        <f>IF(AND('Mapa final'!$AA$15="Media",'Mapa final'!$AC$15="Moderado"),CONCATENATE("R2C",'Mapa final'!$Q$15),"")</f>
        <v/>
      </c>
      <c r="W27" s="55" t="str">
        <f>IF(AND('Mapa final'!$AA$16="Media",'Mapa final'!$AC$16="Moderado"),CONCATENATE("R2C",'Mapa final'!$Q$16),"")</f>
        <v/>
      </c>
      <c r="X27" s="55" t="str">
        <f>IF(AND('Mapa final'!$AA$17="Media",'Mapa final'!$AC$17="Moderado"),CONCATENATE("R2C",'Mapa final'!$Q$17),"")</f>
        <v/>
      </c>
      <c r="Y27" s="55" t="str">
        <f>IF(AND('Mapa final'!$AA$18="Media",'Mapa final'!$AC$18="Moderado"),CONCATENATE("R2C",'Mapa final'!$Q$18),"")</f>
        <v/>
      </c>
      <c r="Z27" s="55" t="str">
        <f>IF(AND('Mapa final'!$AA$19="Media",'Mapa final'!$AC$19="Moderado"),CONCATENATE("R2C",'Mapa final'!$Q$19),"")</f>
        <v/>
      </c>
      <c r="AA27" s="56" t="str">
        <f>IF(AND('Mapa final'!$AA$20="Media",'Mapa final'!$AC$20="Moderado"),CONCATENATE("R2C",'Mapa final'!$Q$20),"")</f>
        <v/>
      </c>
      <c r="AB27" s="38" t="str">
        <f>IF(AND('Mapa final'!$AA$15="Media",'Mapa final'!$AC$15="Mayor"),CONCATENATE("R2C",'Mapa final'!$Q$15),"")</f>
        <v/>
      </c>
      <c r="AC27" s="39" t="str">
        <f>IF(AND('Mapa final'!$AA$16="Media",'Mapa final'!$AC$16="Mayor"),CONCATENATE("R2C",'Mapa final'!$Q$16),"")</f>
        <v/>
      </c>
      <c r="AD27" s="39" t="str">
        <f>IF(AND('Mapa final'!$AA$17="Media",'Mapa final'!$AC$17="Mayor"),CONCATENATE("R2C",'Mapa final'!$Q$17),"")</f>
        <v/>
      </c>
      <c r="AE27" s="39" t="str">
        <f>IF(AND('Mapa final'!$AA$18="Media",'Mapa final'!$AC$18="Mayor"),CONCATENATE("R2C",'Mapa final'!$Q$18),"")</f>
        <v/>
      </c>
      <c r="AF27" s="39" t="str">
        <f>IF(AND('Mapa final'!$AA$19="Media",'Mapa final'!$AC$19="Mayor"),CONCATENATE("R2C",'Mapa final'!$Q$19),"")</f>
        <v/>
      </c>
      <c r="AG27" s="40" t="str">
        <f>IF(AND('Mapa final'!$AA$20="Media",'Mapa final'!$AC$20="Mayor"),CONCATENATE("R2C",'Mapa final'!$Q$20),"")</f>
        <v/>
      </c>
      <c r="AH27" s="41" t="str">
        <f>IF(AND('Mapa final'!$AA$15="Media",'Mapa final'!$AC$15="Catastrófico"),CONCATENATE("R2C",'Mapa final'!$Q$15),"")</f>
        <v/>
      </c>
      <c r="AI27" s="42" t="str">
        <f>IF(AND('Mapa final'!$AA$16="Media",'Mapa final'!$AC$16="Catastrófico"),CONCATENATE("R2C",'Mapa final'!$Q$16),"")</f>
        <v/>
      </c>
      <c r="AJ27" s="42" t="str">
        <f>IF(AND('Mapa final'!$AA$17="Media",'Mapa final'!$AC$17="Catastrófico"),CONCATENATE("R2C",'Mapa final'!$Q$17),"")</f>
        <v/>
      </c>
      <c r="AK27" s="42" t="str">
        <f>IF(AND('Mapa final'!$AA$18="Media",'Mapa final'!$AC$18="Catastrófico"),CONCATENATE("R2C",'Mapa final'!$Q$18),"")</f>
        <v/>
      </c>
      <c r="AL27" s="42" t="str">
        <f>IF(AND('Mapa final'!$AA$19="Media",'Mapa final'!$AC$19="Catastrófico"),CONCATENATE("R2C",'Mapa final'!$Q$19),"")</f>
        <v/>
      </c>
      <c r="AM27" s="43" t="str">
        <f>IF(AND('Mapa final'!$AA$20="Media",'Mapa final'!$AC$20="Catastrófico"),CONCATENATE("R2C",'Mapa final'!$Q$20),"")</f>
        <v/>
      </c>
      <c r="AN27" s="70"/>
      <c r="AO27" s="372"/>
      <c r="AP27" s="373"/>
      <c r="AQ27" s="373"/>
      <c r="AR27" s="373"/>
      <c r="AS27" s="373"/>
      <c r="AT27" s="374"/>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41"/>
      <c r="C28" s="241"/>
      <c r="D28" s="242"/>
      <c r="E28" s="342"/>
      <c r="F28" s="343"/>
      <c r="G28" s="343"/>
      <c r="H28" s="343"/>
      <c r="I28" s="358"/>
      <c r="J28" s="54" t="str">
        <f>IF(AND('Mapa final'!$AA$21="Media",'Mapa final'!$AC$21="Leve"),CONCATENATE("R3C",'Mapa final'!$Q$21),"")</f>
        <v/>
      </c>
      <c r="K28" s="55" t="str">
        <f>IF(AND('Mapa final'!$AA$22="Media",'Mapa final'!$AC$22="Leve"),CONCATENATE("R3C",'Mapa final'!$Q$22),"")</f>
        <v/>
      </c>
      <c r="L28" s="55" t="str">
        <f>IF(AND('Mapa final'!$AA$23="Media",'Mapa final'!$AC$23="Leve"),CONCATENATE("R3C",'Mapa final'!$Q$23),"")</f>
        <v/>
      </c>
      <c r="M28" s="55" t="str">
        <f>IF(AND('Mapa final'!$AA$24="Media",'Mapa final'!$AC$24="Leve"),CONCATENATE("R3C",'Mapa final'!$Q$24),"")</f>
        <v/>
      </c>
      <c r="N28" s="55" t="str">
        <f>IF(AND('Mapa final'!$AA$25="Media",'Mapa final'!$AC$25="Leve"),CONCATENATE("R3C",'Mapa final'!$Q$25),"")</f>
        <v/>
      </c>
      <c r="O28" s="56" t="str">
        <f>IF(AND('Mapa final'!$AA$26="Media",'Mapa final'!$AC$26="Leve"),CONCATENATE("R3C",'Mapa final'!$Q$26),"")</f>
        <v/>
      </c>
      <c r="P28" s="54" t="str">
        <f>IF(AND('Mapa final'!$AA$21="Media",'Mapa final'!$AC$21="Menor"),CONCATENATE("R3C",'Mapa final'!$Q$21),"")</f>
        <v/>
      </c>
      <c r="Q28" s="55" t="str">
        <f>IF(AND('Mapa final'!$AA$22="Media",'Mapa final'!$AC$22="Menor"),CONCATENATE("R3C",'Mapa final'!$Q$22),"")</f>
        <v/>
      </c>
      <c r="R28" s="55" t="str">
        <f>IF(AND('Mapa final'!$AA$23="Media",'Mapa final'!$AC$23="Menor"),CONCATENATE("R3C",'Mapa final'!$Q$23),"")</f>
        <v/>
      </c>
      <c r="S28" s="55" t="str">
        <f>IF(AND('Mapa final'!$AA$24="Media",'Mapa final'!$AC$24="Menor"),CONCATENATE("R3C",'Mapa final'!$Q$24),"")</f>
        <v/>
      </c>
      <c r="T28" s="55" t="str">
        <f>IF(AND('Mapa final'!$AA$25="Media",'Mapa final'!$AC$25="Menor"),CONCATENATE("R3C",'Mapa final'!$Q$25),"")</f>
        <v/>
      </c>
      <c r="U28" s="56" t="str">
        <f>IF(AND('Mapa final'!$AA$26="Media",'Mapa final'!$AC$26="Menor"),CONCATENATE("R3C",'Mapa final'!$Q$26),"")</f>
        <v/>
      </c>
      <c r="V28" s="54" t="str">
        <f>IF(AND('Mapa final'!$AA$21="Media",'Mapa final'!$AC$21="Moderado"),CONCATENATE("R3C",'Mapa final'!$Q$21),"")</f>
        <v>R3C1</v>
      </c>
      <c r="W28" s="55" t="str">
        <f>IF(AND('Mapa final'!$AA$22="Media",'Mapa final'!$AC$22="Moderado"),CONCATENATE("R3C",'Mapa final'!$Q$22),"")</f>
        <v/>
      </c>
      <c r="X28" s="55" t="str">
        <f>IF(AND('Mapa final'!$AA$23="Media",'Mapa final'!$AC$23="Moderado"),CONCATENATE("R3C",'Mapa final'!$Q$23),"")</f>
        <v/>
      </c>
      <c r="Y28" s="55" t="str">
        <f>IF(AND('Mapa final'!$AA$24="Media",'Mapa final'!$AC$24="Moderado"),CONCATENATE("R3C",'Mapa final'!$Q$24),"")</f>
        <v/>
      </c>
      <c r="Z28" s="55" t="str">
        <f>IF(AND('Mapa final'!$AA$25="Media",'Mapa final'!$AC$25="Moderado"),CONCATENATE("R3C",'Mapa final'!$Q$25),"")</f>
        <v/>
      </c>
      <c r="AA28" s="56" t="str">
        <f>IF(AND('Mapa final'!$AA$26="Media",'Mapa final'!$AC$26="Moderado"),CONCATENATE("R3C",'Mapa final'!$Q$26),"")</f>
        <v/>
      </c>
      <c r="AB28" s="38" t="str">
        <f>IF(AND('Mapa final'!$AA$21="Media",'Mapa final'!$AC$21="Mayor"),CONCATENATE("R3C",'Mapa final'!$Q$21),"")</f>
        <v/>
      </c>
      <c r="AC28" s="39" t="str">
        <f>IF(AND('Mapa final'!$AA$22="Media",'Mapa final'!$AC$22="Mayor"),CONCATENATE("R3C",'Mapa final'!$Q$22),"")</f>
        <v/>
      </c>
      <c r="AD28" s="39" t="str">
        <f>IF(AND('Mapa final'!$AA$23="Media",'Mapa final'!$AC$23="Mayor"),CONCATENATE("R3C",'Mapa final'!$Q$23),"")</f>
        <v/>
      </c>
      <c r="AE28" s="39" t="str">
        <f>IF(AND('Mapa final'!$AA$24="Media",'Mapa final'!$AC$24="Mayor"),CONCATENATE("R3C",'Mapa final'!$Q$24),"")</f>
        <v/>
      </c>
      <c r="AF28" s="39" t="str">
        <f>IF(AND('Mapa final'!$AA$25="Media",'Mapa final'!$AC$25="Mayor"),CONCATENATE("R3C",'Mapa final'!$Q$25),"")</f>
        <v/>
      </c>
      <c r="AG28" s="40" t="str">
        <f>IF(AND('Mapa final'!$AA$26="Media",'Mapa final'!$AC$26="Mayor"),CONCATENATE("R3C",'Mapa final'!$Q$26),"")</f>
        <v/>
      </c>
      <c r="AH28" s="41" t="str">
        <f>IF(AND('Mapa final'!$AA$21="Media",'Mapa final'!$AC$21="Catastrófico"),CONCATENATE("R3C",'Mapa final'!$Q$21),"")</f>
        <v/>
      </c>
      <c r="AI28" s="42" t="str">
        <f>IF(AND('Mapa final'!$AA$22="Media",'Mapa final'!$AC$22="Catastrófico"),CONCATENATE("R3C",'Mapa final'!$Q$22),"")</f>
        <v/>
      </c>
      <c r="AJ28" s="42" t="str">
        <f>IF(AND('Mapa final'!$AA$23="Media",'Mapa final'!$AC$23="Catastrófico"),CONCATENATE("R3C",'Mapa final'!$Q$23),"")</f>
        <v/>
      </c>
      <c r="AK28" s="42" t="str">
        <f>IF(AND('Mapa final'!$AA$24="Media",'Mapa final'!$AC$24="Catastrófico"),CONCATENATE("R3C",'Mapa final'!$Q$24),"")</f>
        <v/>
      </c>
      <c r="AL28" s="42" t="str">
        <f>IF(AND('Mapa final'!$AA$25="Media",'Mapa final'!$AC$25="Catastrófico"),CONCATENATE("R3C",'Mapa final'!$Q$25),"")</f>
        <v/>
      </c>
      <c r="AM28" s="43" t="str">
        <f>IF(AND('Mapa final'!$AA$26="Media",'Mapa final'!$AC$26="Catastrófico"),CONCATENATE("R3C",'Mapa final'!$Q$26),"")</f>
        <v/>
      </c>
      <c r="AN28" s="70"/>
      <c r="AO28" s="372"/>
      <c r="AP28" s="373"/>
      <c r="AQ28" s="373"/>
      <c r="AR28" s="373"/>
      <c r="AS28" s="373"/>
      <c r="AT28" s="374"/>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41"/>
      <c r="C29" s="241"/>
      <c r="D29" s="242"/>
      <c r="E29" s="342"/>
      <c r="F29" s="343"/>
      <c r="G29" s="343"/>
      <c r="H29" s="343"/>
      <c r="I29" s="358"/>
      <c r="J29" s="54" t="str">
        <f>IF(AND('Mapa final'!$AA$27="Media",'Mapa final'!$AC$27="Leve"),CONCATENATE("R4C",'Mapa final'!$Q$27),"")</f>
        <v/>
      </c>
      <c r="K29" s="55" t="str">
        <f>IF(AND('Mapa final'!$AA$28="Media",'Mapa final'!$AC$28="Leve"),CONCATENATE("R4C",'Mapa final'!$Q$28),"")</f>
        <v/>
      </c>
      <c r="L29" s="55" t="str">
        <f>IF(AND('Mapa final'!$AA$29="Media",'Mapa final'!$AC$29="Leve"),CONCATENATE("R4C",'Mapa final'!$Q$29),"")</f>
        <v/>
      </c>
      <c r="M29" s="55" t="str">
        <f>IF(AND('Mapa final'!$AA$30="Media",'Mapa final'!$AC$30="Leve"),CONCATENATE("R4C",'Mapa final'!$Q$30),"")</f>
        <v/>
      </c>
      <c r="N29" s="55" t="str">
        <f>IF(AND('Mapa final'!$AA$31="Media",'Mapa final'!$AC$31="Leve"),CONCATENATE("R4C",'Mapa final'!$Q$31),"")</f>
        <v/>
      </c>
      <c r="O29" s="56" t="str">
        <f>IF(AND('Mapa final'!$AA$32="Media",'Mapa final'!$AC$32="Leve"),CONCATENATE("R4C",'Mapa final'!$Q$32),"")</f>
        <v/>
      </c>
      <c r="P29" s="54" t="str">
        <f>IF(AND('Mapa final'!$AA$27="Media",'Mapa final'!$AC$27="Menor"),CONCATENATE("R4C",'Mapa final'!$Q$27),"")</f>
        <v/>
      </c>
      <c r="Q29" s="55" t="str">
        <f>IF(AND('Mapa final'!$AA$28="Media",'Mapa final'!$AC$28="Menor"),CONCATENATE("R4C",'Mapa final'!$Q$28),"")</f>
        <v/>
      </c>
      <c r="R29" s="55" t="str">
        <f>IF(AND('Mapa final'!$AA$29="Media",'Mapa final'!$AC$29="Menor"),CONCATENATE("R4C",'Mapa final'!$Q$29),"")</f>
        <v/>
      </c>
      <c r="S29" s="55" t="str">
        <f>IF(AND('Mapa final'!$AA$30="Media",'Mapa final'!$AC$30="Menor"),CONCATENATE("R4C",'Mapa final'!$Q$30),"")</f>
        <v/>
      </c>
      <c r="T29" s="55" t="str">
        <f>IF(AND('Mapa final'!$AA$31="Media",'Mapa final'!$AC$31="Menor"),CONCATENATE("R4C",'Mapa final'!$Q$31),"")</f>
        <v/>
      </c>
      <c r="U29" s="56" t="str">
        <f>IF(AND('Mapa final'!$AA$32="Media",'Mapa final'!$AC$32="Menor"),CONCATENATE("R4C",'Mapa final'!$Q$32),"")</f>
        <v/>
      </c>
      <c r="V29" s="54" t="str">
        <f>IF(AND('Mapa final'!$AA$27="Media",'Mapa final'!$AC$27="Moderado"),CONCATENATE("R4C",'Mapa final'!$Q$27),"")</f>
        <v/>
      </c>
      <c r="W29" s="55" t="str">
        <f>IF(AND('Mapa final'!$AA$28="Media",'Mapa final'!$AC$28="Moderado"),CONCATENATE("R4C",'Mapa final'!$Q$28),"")</f>
        <v/>
      </c>
      <c r="X29" s="55" t="str">
        <f>IF(AND('Mapa final'!$AA$29="Media",'Mapa final'!$AC$29="Moderado"),CONCATENATE("R4C",'Mapa final'!$Q$29),"")</f>
        <v/>
      </c>
      <c r="Y29" s="55" t="str">
        <f>IF(AND('Mapa final'!$AA$30="Media",'Mapa final'!$AC$30="Moderado"),CONCATENATE("R4C",'Mapa final'!$Q$30),"")</f>
        <v/>
      </c>
      <c r="Z29" s="55" t="str">
        <f>IF(AND('Mapa final'!$AA$31="Media",'Mapa final'!$AC$31="Moderado"),CONCATENATE("R4C",'Mapa final'!$Q$31),"")</f>
        <v/>
      </c>
      <c r="AA29" s="56" t="str">
        <f>IF(AND('Mapa final'!$AA$32="Media",'Mapa final'!$AC$32="Moderado"),CONCATENATE("R4C",'Mapa final'!$Q$32),"")</f>
        <v/>
      </c>
      <c r="AB29" s="38" t="str">
        <f>IF(AND('Mapa final'!$AA$27="Media",'Mapa final'!$AC$27="Mayor"),CONCATENATE("R4C",'Mapa final'!$Q$27),"")</f>
        <v>R4C1</v>
      </c>
      <c r="AC29" s="39" t="str">
        <f>IF(AND('Mapa final'!$AA$28="Media",'Mapa final'!$AC$28="Mayor"),CONCATENATE("R4C",'Mapa final'!$Q$28),"")</f>
        <v/>
      </c>
      <c r="AD29" s="44" t="str">
        <f>IF(AND('Mapa final'!$AA$29="Media",'Mapa final'!$AC$29="Mayor"),CONCATENATE("R4C",'Mapa final'!$Q$29),"")</f>
        <v/>
      </c>
      <c r="AE29" s="44" t="str">
        <f>IF(AND('Mapa final'!$AA$30="Media",'Mapa final'!$AC$30="Mayor"),CONCATENATE("R4C",'Mapa final'!$Q$30),"")</f>
        <v/>
      </c>
      <c r="AF29" s="44" t="str">
        <f>IF(AND('Mapa final'!$AA$31="Media",'Mapa final'!$AC$31="Mayor"),CONCATENATE("R4C",'Mapa final'!$Q$31),"")</f>
        <v/>
      </c>
      <c r="AG29" s="40" t="str">
        <f>IF(AND('Mapa final'!$AA$32="Media",'Mapa final'!$AC$32="Mayor"),CONCATENATE("R4C",'Mapa final'!$Q$32),"")</f>
        <v/>
      </c>
      <c r="AH29" s="41" t="str">
        <f>IF(AND('Mapa final'!$AA$27="Media",'Mapa final'!$AC$27="Catastrófico"),CONCATENATE("R4C",'Mapa final'!$Q$27),"")</f>
        <v/>
      </c>
      <c r="AI29" s="42" t="str">
        <f>IF(AND('Mapa final'!$AA$28="Media",'Mapa final'!$AC$28="Catastrófico"),CONCATENATE("R4C",'Mapa final'!$Q$28),"")</f>
        <v/>
      </c>
      <c r="AJ29" s="42" t="str">
        <f>IF(AND('Mapa final'!$AA$29="Media",'Mapa final'!$AC$29="Catastrófico"),CONCATENATE("R4C",'Mapa final'!$Q$29),"")</f>
        <v/>
      </c>
      <c r="AK29" s="42" t="str">
        <f>IF(AND('Mapa final'!$AA$30="Media",'Mapa final'!$AC$30="Catastrófico"),CONCATENATE("R4C",'Mapa final'!$Q$30),"")</f>
        <v/>
      </c>
      <c r="AL29" s="42" t="str">
        <f>IF(AND('Mapa final'!$AA$31="Media",'Mapa final'!$AC$31="Catastrófico"),CONCATENATE("R4C",'Mapa final'!$Q$31),"")</f>
        <v/>
      </c>
      <c r="AM29" s="43" t="str">
        <f>IF(AND('Mapa final'!$AA$32="Media",'Mapa final'!$AC$32="Catastrófico"),CONCATENATE("R4C",'Mapa final'!$Q$32),"")</f>
        <v/>
      </c>
      <c r="AN29" s="70"/>
      <c r="AO29" s="372"/>
      <c r="AP29" s="373"/>
      <c r="AQ29" s="373"/>
      <c r="AR29" s="373"/>
      <c r="AS29" s="373"/>
      <c r="AT29" s="374"/>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41"/>
      <c r="C30" s="241"/>
      <c r="D30" s="242"/>
      <c r="E30" s="342"/>
      <c r="F30" s="343"/>
      <c r="G30" s="343"/>
      <c r="H30" s="343"/>
      <c r="I30" s="358"/>
      <c r="J30" s="54" t="str">
        <f>IF(AND('Mapa final'!$AA$33="Media",'Mapa final'!$AC$33="Leve"),CONCATENATE("R5C",'Mapa final'!$Q$33),"")</f>
        <v/>
      </c>
      <c r="K30" s="55" t="str">
        <f>IF(AND('Mapa final'!$AA$34="Media",'Mapa final'!$AC$34="Leve"),CONCATENATE("R5C",'Mapa final'!$Q$34),"")</f>
        <v/>
      </c>
      <c r="L30" s="55" t="str">
        <f>IF(AND('Mapa final'!$AA$35="Media",'Mapa final'!$AC$35="Leve"),CONCATENATE("R5C",'Mapa final'!$Q$35),"")</f>
        <v/>
      </c>
      <c r="M30" s="55" t="str">
        <f>IF(AND('Mapa final'!$AA$36="Media",'Mapa final'!$AC$36="Leve"),CONCATENATE("R5C",'Mapa final'!$Q$36),"")</f>
        <v/>
      </c>
      <c r="N30" s="55" t="str">
        <f>IF(AND('Mapa final'!$AA$37="Media",'Mapa final'!$AC$37="Leve"),CONCATENATE("R5C",'Mapa final'!$Q$37),"")</f>
        <v/>
      </c>
      <c r="O30" s="56" t="str">
        <f>IF(AND('Mapa final'!$AA$38="Media",'Mapa final'!$AC$38="Leve"),CONCATENATE("R5C",'Mapa final'!$Q$38),"")</f>
        <v/>
      </c>
      <c r="P30" s="54" t="str">
        <f>IF(AND('Mapa final'!$AA$33="Media",'Mapa final'!$AC$33="Menor"),CONCATENATE("R5C",'Mapa final'!$Q$33),"")</f>
        <v/>
      </c>
      <c r="Q30" s="55" t="str">
        <f>IF(AND('Mapa final'!$AA$34="Media",'Mapa final'!$AC$34="Menor"),CONCATENATE("R5C",'Mapa final'!$Q$34),"")</f>
        <v/>
      </c>
      <c r="R30" s="55" t="str">
        <f>IF(AND('Mapa final'!$AA$35="Media",'Mapa final'!$AC$35="Menor"),CONCATENATE("R5C",'Mapa final'!$Q$35),"")</f>
        <v/>
      </c>
      <c r="S30" s="55" t="str">
        <f>IF(AND('Mapa final'!$AA$36="Media",'Mapa final'!$AC$36="Menor"),CONCATENATE("R5C",'Mapa final'!$Q$36),"")</f>
        <v/>
      </c>
      <c r="T30" s="55" t="str">
        <f>IF(AND('Mapa final'!$AA$37="Media",'Mapa final'!$AC$37="Menor"),CONCATENATE("R5C",'Mapa final'!$Q$37),"")</f>
        <v/>
      </c>
      <c r="U30" s="56" t="str">
        <f>IF(AND('Mapa final'!$AA$38="Media",'Mapa final'!$AC$38="Menor"),CONCATENATE("R5C",'Mapa final'!$Q$38),"")</f>
        <v/>
      </c>
      <c r="V30" s="54" t="str">
        <f>IF(AND('Mapa final'!$AA$33="Media",'Mapa final'!$AC$33="Moderado"),CONCATENATE("R5C",'Mapa final'!$Q$33),"")</f>
        <v/>
      </c>
      <c r="W30" s="55" t="str">
        <f>IF(AND('Mapa final'!$AA$34="Media",'Mapa final'!$AC$34="Moderado"),CONCATENATE("R5C",'Mapa final'!$Q$34),"")</f>
        <v/>
      </c>
      <c r="X30" s="55" t="str">
        <f>IF(AND('Mapa final'!$AA$35="Media",'Mapa final'!$AC$35="Moderado"),CONCATENATE("R5C",'Mapa final'!$Q$35),"")</f>
        <v/>
      </c>
      <c r="Y30" s="55" t="str">
        <f>IF(AND('Mapa final'!$AA$36="Media",'Mapa final'!$AC$36="Moderado"),CONCATENATE("R5C",'Mapa final'!$Q$36),"")</f>
        <v/>
      </c>
      <c r="Z30" s="55" t="str">
        <f>IF(AND('Mapa final'!$AA$37="Media",'Mapa final'!$AC$37="Moderado"),CONCATENATE("R5C",'Mapa final'!$Q$37),"")</f>
        <v/>
      </c>
      <c r="AA30" s="56" t="str">
        <f>IF(AND('Mapa final'!$AA$38="Media",'Mapa final'!$AC$38="Moderado"),CONCATENATE("R5C",'Mapa final'!$Q$38),"")</f>
        <v/>
      </c>
      <c r="AB30" s="38" t="str">
        <f>IF(AND('Mapa final'!$AA$33="Media",'Mapa final'!$AC$33="Mayor"),CONCATENATE("R5C",'Mapa final'!$Q$33),"")</f>
        <v/>
      </c>
      <c r="AC30" s="39" t="str">
        <f>IF(AND('Mapa final'!$AA$34="Media",'Mapa final'!$AC$34="Mayor"),CONCATENATE("R5C",'Mapa final'!$Q$34),"")</f>
        <v/>
      </c>
      <c r="AD30" s="44" t="str">
        <f>IF(AND('Mapa final'!$AA$35="Media",'Mapa final'!$AC$35="Mayor"),CONCATENATE("R5C",'Mapa final'!$Q$35),"")</f>
        <v/>
      </c>
      <c r="AE30" s="44" t="str">
        <f>IF(AND('Mapa final'!$AA$36="Media",'Mapa final'!$AC$36="Mayor"),CONCATENATE("R5C",'Mapa final'!$Q$36),"")</f>
        <v/>
      </c>
      <c r="AF30" s="44" t="str">
        <f>IF(AND('Mapa final'!$AA$37="Media",'Mapa final'!$AC$37="Mayor"),CONCATENATE("R5C",'Mapa final'!$Q$37),"")</f>
        <v/>
      </c>
      <c r="AG30" s="40" t="str">
        <f>IF(AND('Mapa final'!$AA$38="Media",'Mapa final'!$AC$38="Mayor"),CONCATENATE("R5C",'Mapa final'!$Q$38),"")</f>
        <v/>
      </c>
      <c r="AH30" s="41" t="str">
        <f>IF(AND('Mapa final'!$AA$33="Media",'Mapa final'!$AC$33="Catastrófico"),CONCATENATE("R5C",'Mapa final'!$Q$33),"")</f>
        <v/>
      </c>
      <c r="AI30" s="42" t="str">
        <f>IF(AND('Mapa final'!$AA$34="Media",'Mapa final'!$AC$34="Catastrófico"),CONCATENATE("R5C",'Mapa final'!$Q$34),"")</f>
        <v/>
      </c>
      <c r="AJ30" s="42" t="str">
        <f>IF(AND('Mapa final'!$AA$35="Media",'Mapa final'!$AC$35="Catastrófico"),CONCATENATE("R5C",'Mapa final'!$Q$35),"")</f>
        <v/>
      </c>
      <c r="AK30" s="42" t="str">
        <f>IF(AND('Mapa final'!$AA$36="Media",'Mapa final'!$AC$36="Catastrófico"),CONCATENATE("R5C",'Mapa final'!$Q$36),"")</f>
        <v/>
      </c>
      <c r="AL30" s="42" t="str">
        <f>IF(AND('Mapa final'!$AA$37="Media",'Mapa final'!$AC$37="Catastrófico"),CONCATENATE("R5C",'Mapa final'!$Q$37),"")</f>
        <v/>
      </c>
      <c r="AM30" s="43" t="str">
        <f>IF(AND('Mapa final'!$AA$38="Media",'Mapa final'!$AC$38="Catastrófico"),CONCATENATE("R5C",'Mapa final'!$Q$38),"")</f>
        <v/>
      </c>
      <c r="AN30" s="70"/>
      <c r="AO30" s="372"/>
      <c r="AP30" s="373"/>
      <c r="AQ30" s="373"/>
      <c r="AR30" s="373"/>
      <c r="AS30" s="373"/>
      <c r="AT30" s="374"/>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41"/>
      <c r="C31" s="241"/>
      <c r="D31" s="242"/>
      <c r="E31" s="342"/>
      <c r="F31" s="343"/>
      <c r="G31" s="343"/>
      <c r="H31" s="343"/>
      <c r="I31" s="358"/>
      <c r="J31" s="54" t="str">
        <f>IF(AND('Mapa final'!$AA$39="Media",'Mapa final'!$AC$39="Leve"),CONCATENATE("R6C",'Mapa final'!$Q$39),"")</f>
        <v/>
      </c>
      <c r="K31" s="55" t="str">
        <f>IF(AND('Mapa final'!$AA$40="Media",'Mapa final'!$AC$40="Leve"),CONCATENATE("R6C",'Mapa final'!$Q$40),"")</f>
        <v/>
      </c>
      <c r="L31" s="55" t="str">
        <f>IF(AND('Mapa final'!$AA$41="Media",'Mapa final'!$AC$41="Leve"),CONCATENATE("R6C",'Mapa final'!$Q$41),"")</f>
        <v/>
      </c>
      <c r="M31" s="55" t="str">
        <f>IF(AND('Mapa final'!$AA$42="Media",'Mapa final'!$AC$42="Leve"),CONCATENATE("R6C",'Mapa final'!$Q$42),"")</f>
        <v/>
      </c>
      <c r="N31" s="55" t="str">
        <f>IF(AND('Mapa final'!$AA$43="Media",'Mapa final'!$AC$43="Leve"),CONCATENATE("R6C",'Mapa final'!$Q$43),"")</f>
        <v/>
      </c>
      <c r="O31" s="56" t="str">
        <f>IF(AND('Mapa final'!$AA$44="Media",'Mapa final'!$AC$44="Leve"),CONCATENATE("R6C",'Mapa final'!$Q$44),"")</f>
        <v/>
      </c>
      <c r="P31" s="54" t="str">
        <f>IF(AND('Mapa final'!$AA$39="Media",'Mapa final'!$AC$39="Menor"),CONCATENATE("R6C",'Mapa final'!$Q$39),"")</f>
        <v/>
      </c>
      <c r="Q31" s="55" t="str">
        <f>IF(AND('Mapa final'!$AA$40="Media",'Mapa final'!$AC$40="Menor"),CONCATENATE("R6C",'Mapa final'!$Q$40),"")</f>
        <v/>
      </c>
      <c r="R31" s="55" t="str">
        <f>IF(AND('Mapa final'!$AA$41="Media",'Mapa final'!$AC$41="Menor"),CONCATENATE("R6C",'Mapa final'!$Q$41),"")</f>
        <v/>
      </c>
      <c r="S31" s="55" t="str">
        <f>IF(AND('Mapa final'!$AA$42="Media",'Mapa final'!$AC$42="Menor"),CONCATENATE("R6C",'Mapa final'!$Q$42),"")</f>
        <v/>
      </c>
      <c r="T31" s="55" t="str">
        <f>IF(AND('Mapa final'!$AA$43="Media",'Mapa final'!$AC$43="Menor"),CONCATENATE("R6C",'Mapa final'!$Q$43),"")</f>
        <v/>
      </c>
      <c r="U31" s="56" t="str">
        <f>IF(AND('Mapa final'!$AA$44="Media",'Mapa final'!$AC$44="Menor"),CONCATENATE("R6C",'Mapa final'!$Q$44),"")</f>
        <v/>
      </c>
      <c r="V31" s="54" t="str">
        <f>IF(AND('Mapa final'!$AA$39="Media",'Mapa final'!$AC$39="Moderado"),CONCATENATE("R6C",'Mapa final'!$Q$39),"")</f>
        <v/>
      </c>
      <c r="W31" s="55" t="str">
        <f>IF(AND('Mapa final'!$AA$40="Media",'Mapa final'!$AC$40="Moderado"),CONCATENATE("R6C",'Mapa final'!$Q$40),"")</f>
        <v/>
      </c>
      <c r="X31" s="55" t="str">
        <f>IF(AND('Mapa final'!$AA$41="Media",'Mapa final'!$AC$41="Moderado"),CONCATENATE("R6C",'Mapa final'!$Q$41),"")</f>
        <v/>
      </c>
      <c r="Y31" s="55" t="str">
        <f>IF(AND('Mapa final'!$AA$42="Media",'Mapa final'!$AC$42="Moderado"),CONCATENATE("R6C",'Mapa final'!$Q$42),"")</f>
        <v/>
      </c>
      <c r="Z31" s="55" t="str">
        <f>IF(AND('Mapa final'!$AA$43="Media",'Mapa final'!$AC$43="Moderado"),CONCATENATE("R6C",'Mapa final'!$Q$43),"")</f>
        <v/>
      </c>
      <c r="AA31" s="56" t="str">
        <f>IF(AND('Mapa final'!$AA$44="Media",'Mapa final'!$AC$44="Moderado"),CONCATENATE("R6C",'Mapa final'!$Q$44),"")</f>
        <v/>
      </c>
      <c r="AB31" s="38" t="str">
        <f>IF(AND('Mapa final'!$AA$39="Media",'Mapa final'!$AC$39="Mayor"),CONCATENATE("R6C",'Mapa final'!$Q$39),"")</f>
        <v/>
      </c>
      <c r="AC31" s="39" t="str">
        <f>IF(AND('Mapa final'!$AA$40="Media",'Mapa final'!$AC$40="Mayor"),CONCATENATE("R6C",'Mapa final'!$Q$40),"")</f>
        <v/>
      </c>
      <c r="AD31" s="44" t="str">
        <f>IF(AND('Mapa final'!$AA$41="Media",'Mapa final'!$AC$41="Mayor"),CONCATENATE("R6C",'Mapa final'!$Q$41),"")</f>
        <v/>
      </c>
      <c r="AE31" s="44" t="str">
        <f>IF(AND('Mapa final'!$AA$42="Media",'Mapa final'!$AC$42="Mayor"),CONCATENATE("R6C",'Mapa final'!$Q$42),"")</f>
        <v/>
      </c>
      <c r="AF31" s="44" t="str">
        <f>IF(AND('Mapa final'!$AA$43="Media",'Mapa final'!$AC$43="Mayor"),CONCATENATE("R6C",'Mapa final'!$Q$43),"")</f>
        <v/>
      </c>
      <c r="AG31" s="40" t="str">
        <f>IF(AND('Mapa final'!$AA$44="Media",'Mapa final'!$AC$44="Mayor"),CONCATENATE("R6C",'Mapa final'!$Q$44),"")</f>
        <v/>
      </c>
      <c r="AH31" s="41" t="str">
        <f>IF(AND('Mapa final'!$AA$39="Media",'Mapa final'!$AC$39="Catastrófico"),CONCATENATE("R6C",'Mapa final'!$Q$39),"")</f>
        <v/>
      </c>
      <c r="AI31" s="42" t="str">
        <f>IF(AND('Mapa final'!$AA$40="Media",'Mapa final'!$AC$40="Catastrófico"),CONCATENATE("R6C",'Mapa final'!$Q$40),"")</f>
        <v/>
      </c>
      <c r="AJ31" s="42" t="str">
        <f>IF(AND('Mapa final'!$AA$41="Media",'Mapa final'!$AC$41="Catastrófico"),CONCATENATE("R6C",'Mapa final'!$Q$41),"")</f>
        <v/>
      </c>
      <c r="AK31" s="42" t="str">
        <f>IF(AND('Mapa final'!$AA$42="Media",'Mapa final'!$AC$42="Catastrófico"),CONCATENATE("R6C",'Mapa final'!$Q$42),"")</f>
        <v/>
      </c>
      <c r="AL31" s="42" t="str">
        <f>IF(AND('Mapa final'!$AA$43="Media",'Mapa final'!$AC$43="Catastrófico"),CONCATENATE("R6C",'Mapa final'!$Q$43),"")</f>
        <v/>
      </c>
      <c r="AM31" s="43" t="str">
        <f>IF(AND('Mapa final'!$AA$44="Media",'Mapa final'!$AC$44="Catastrófico"),CONCATENATE("R6C",'Mapa final'!$Q$44),"")</f>
        <v/>
      </c>
      <c r="AN31" s="70"/>
      <c r="AO31" s="372"/>
      <c r="AP31" s="373"/>
      <c r="AQ31" s="373"/>
      <c r="AR31" s="373"/>
      <c r="AS31" s="373"/>
      <c r="AT31" s="374"/>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41"/>
      <c r="C32" s="241"/>
      <c r="D32" s="242"/>
      <c r="E32" s="342"/>
      <c r="F32" s="343"/>
      <c r="G32" s="343"/>
      <c r="H32" s="343"/>
      <c r="I32" s="358"/>
      <c r="J32" s="54" t="str">
        <f>IF(AND('Mapa final'!$AA$45="Media",'Mapa final'!$AC$45="Leve"),CONCATENATE("R7C",'Mapa final'!$Q$45),"")</f>
        <v/>
      </c>
      <c r="K32" s="55" t="str">
        <f>IF(AND('Mapa final'!$AA$46="Media",'Mapa final'!$AC$46="Leve"),CONCATENATE("R7C",'Mapa final'!$Q$46),"")</f>
        <v/>
      </c>
      <c r="L32" s="55" t="str">
        <f>IF(AND('Mapa final'!$AA$47="Media",'Mapa final'!$AC$47="Leve"),CONCATENATE("R7C",'Mapa final'!$Q$47),"")</f>
        <v/>
      </c>
      <c r="M32" s="55" t="str">
        <f>IF(AND('Mapa final'!$AA$48="Media",'Mapa final'!$AC$48="Leve"),CONCATENATE("R7C",'Mapa final'!$Q$48),"")</f>
        <v/>
      </c>
      <c r="N32" s="55" t="str">
        <f>IF(AND('Mapa final'!$AA$49="Media",'Mapa final'!$AC$49="Leve"),CONCATENATE("R7C",'Mapa final'!$Q$49),"")</f>
        <v/>
      </c>
      <c r="O32" s="56" t="str">
        <f>IF(AND('Mapa final'!$AA$50="Media",'Mapa final'!$AC$50="Leve"),CONCATENATE("R7C",'Mapa final'!$Q$50),"")</f>
        <v/>
      </c>
      <c r="P32" s="54" t="str">
        <f>IF(AND('Mapa final'!$AA$45="Media",'Mapa final'!$AC$45="Menor"),CONCATENATE("R7C",'Mapa final'!$Q$45),"")</f>
        <v/>
      </c>
      <c r="Q32" s="55" t="str">
        <f>IF(AND('Mapa final'!$AA$46="Media",'Mapa final'!$AC$46="Menor"),CONCATENATE("R7C",'Mapa final'!$Q$46),"")</f>
        <v/>
      </c>
      <c r="R32" s="55" t="str">
        <f>IF(AND('Mapa final'!$AA$47="Media",'Mapa final'!$AC$47="Menor"),CONCATENATE("R7C",'Mapa final'!$Q$47),"")</f>
        <v/>
      </c>
      <c r="S32" s="55" t="str">
        <f>IF(AND('Mapa final'!$AA$48="Media",'Mapa final'!$AC$48="Menor"),CONCATENATE("R7C",'Mapa final'!$Q$48),"")</f>
        <v/>
      </c>
      <c r="T32" s="55" t="str">
        <f>IF(AND('Mapa final'!$AA$49="Media",'Mapa final'!$AC$49="Menor"),CONCATENATE("R7C",'Mapa final'!$Q$49),"")</f>
        <v/>
      </c>
      <c r="U32" s="56" t="str">
        <f>IF(AND('Mapa final'!$AA$50="Media",'Mapa final'!$AC$50="Menor"),CONCATENATE("R7C",'Mapa final'!$Q$50),"")</f>
        <v/>
      </c>
      <c r="V32" s="54" t="str">
        <f>IF(AND('Mapa final'!$AA$45="Media",'Mapa final'!$AC$45="Moderado"),CONCATENATE("R7C",'Mapa final'!$Q$45),"")</f>
        <v/>
      </c>
      <c r="W32" s="55" t="str">
        <f>IF(AND('Mapa final'!$AA$46="Media",'Mapa final'!$AC$46="Moderado"),CONCATENATE("R7C",'Mapa final'!$Q$46),"")</f>
        <v/>
      </c>
      <c r="X32" s="55" t="str">
        <f>IF(AND('Mapa final'!$AA$47="Media",'Mapa final'!$AC$47="Moderado"),CONCATENATE("R7C",'Mapa final'!$Q$47),"")</f>
        <v/>
      </c>
      <c r="Y32" s="55" t="str">
        <f>IF(AND('Mapa final'!$AA$48="Media",'Mapa final'!$AC$48="Moderado"),CONCATENATE("R7C",'Mapa final'!$Q$48),"")</f>
        <v/>
      </c>
      <c r="Z32" s="55" t="str">
        <f>IF(AND('Mapa final'!$AA$49="Media",'Mapa final'!$AC$49="Moderado"),CONCATENATE("R7C",'Mapa final'!$Q$49),"")</f>
        <v/>
      </c>
      <c r="AA32" s="56" t="str">
        <f>IF(AND('Mapa final'!$AA$50="Media",'Mapa final'!$AC$50="Moderado"),CONCATENATE("R7C",'Mapa final'!$Q$50),"")</f>
        <v/>
      </c>
      <c r="AB32" s="38" t="str">
        <f>IF(AND('Mapa final'!$AA$45="Media",'Mapa final'!$AC$45="Mayor"),CONCATENATE("R7C",'Mapa final'!$Q$45),"")</f>
        <v/>
      </c>
      <c r="AC32" s="39" t="str">
        <f>IF(AND('Mapa final'!$AA$46="Media",'Mapa final'!$AC$46="Mayor"),CONCATENATE("R7C",'Mapa final'!$Q$46),"")</f>
        <v/>
      </c>
      <c r="AD32" s="44" t="str">
        <f>IF(AND('Mapa final'!$AA$47="Media",'Mapa final'!$AC$47="Mayor"),CONCATENATE("R7C",'Mapa final'!$Q$47),"")</f>
        <v/>
      </c>
      <c r="AE32" s="44" t="str">
        <f>IF(AND('Mapa final'!$AA$48="Media",'Mapa final'!$AC$48="Mayor"),CONCATENATE("R7C",'Mapa final'!$Q$48),"")</f>
        <v/>
      </c>
      <c r="AF32" s="44" t="str">
        <f>IF(AND('Mapa final'!$AA$49="Media",'Mapa final'!$AC$49="Mayor"),CONCATENATE("R7C",'Mapa final'!$Q$49),"")</f>
        <v/>
      </c>
      <c r="AG32" s="40" t="str">
        <f>IF(AND('Mapa final'!$AA$50="Media",'Mapa final'!$AC$50="Mayor"),CONCATENATE("R7C",'Mapa final'!$Q$50),"")</f>
        <v/>
      </c>
      <c r="AH32" s="41" t="str">
        <f>IF(AND('Mapa final'!$AA$45="Media",'Mapa final'!$AC$45="Catastrófico"),CONCATENATE("R7C",'Mapa final'!$Q$45),"")</f>
        <v/>
      </c>
      <c r="AI32" s="42" t="str">
        <f>IF(AND('Mapa final'!$AA$46="Media",'Mapa final'!$AC$46="Catastrófico"),CONCATENATE("R7C",'Mapa final'!$Q$46),"")</f>
        <v/>
      </c>
      <c r="AJ32" s="42" t="str">
        <f>IF(AND('Mapa final'!$AA$47="Media",'Mapa final'!$AC$47="Catastrófico"),CONCATENATE("R7C",'Mapa final'!$Q$47),"")</f>
        <v/>
      </c>
      <c r="AK32" s="42" t="str">
        <f>IF(AND('Mapa final'!$AA$48="Media",'Mapa final'!$AC$48="Catastrófico"),CONCATENATE("R7C",'Mapa final'!$Q$48),"")</f>
        <v/>
      </c>
      <c r="AL32" s="42" t="str">
        <f>IF(AND('Mapa final'!$AA$49="Media",'Mapa final'!$AC$49="Catastrófico"),CONCATENATE("R7C",'Mapa final'!$Q$49),"")</f>
        <v/>
      </c>
      <c r="AM32" s="43" t="str">
        <f>IF(AND('Mapa final'!$AA$50="Media",'Mapa final'!$AC$50="Catastrófico"),CONCATENATE("R7C",'Mapa final'!$Q$50),"")</f>
        <v/>
      </c>
      <c r="AN32" s="70"/>
      <c r="AO32" s="372"/>
      <c r="AP32" s="373"/>
      <c r="AQ32" s="373"/>
      <c r="AR32" s="373"/>
      <c r="AS32" s="373"/>
      <c r="AT32" s="374"/>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41"/>
      <c r="C33" s="241"/>
      <c r="D33" s="242"/>
      <c r="E33" s="342"/>
      <c r="F33" s="343"/>
      <c r="G33" s="343"/>
      <c r="H33" s="343"/>
      <c r="I33" s="358"/>
      <c r="J33" s="54" t="str">
        <f>IF(AND('Mapa final'!$AA$51="Media",'Mapa final'!$AC$51="Leve"),CONCATENATE("R8C",'Mapa final'!$Q$51),"")</f>
        <v/>
      </c>
      <c r="K33" s="55" t="str">
        <f>IF(AND('Mapa final'!$AA$52="Media",'Mapa final'!$AC$52="Leve"),CONCATENATE("R8C",'Mapa final'!$Q$52),"")</f>
        <v/>
      </c>
      <c r="L33" s="55" t="str">
        <f>IF(AND('Mapa final'!$AA$53="Media",'Mapa final'!$AC$53="Leve"),CONCATENATE("R8C",'Mapa final'!$Q$53),"")</f>
        <v/>
      </c>
      <c r="M33" s="55" t="str">
        <f>IF(AND('Mapa final'!$AA$54="Media",'Mapa final'!$AC$54="Leve"),CONCATENATE("R8C",'Mapa final'!$Q$54),"")</f>
        <v/>
      </c>
      <c r="N33" s="55" t="str">
        <f>IF(AND('Mapa final'!$AA$55="Media",'Mapa final'!$AC$55="Leve"),CONCATENATE("R8C",'Mapa final'!$Q$55),"")</f>
        <v/>
      </c>
      <c r="O33" s="56" t="str">
        <f>IF(AND('Mapa final'!$AA$56="Media",'Mapa final'!$AC$56="Leve"),CONCATENATE("R8C",'Mapa final'!$Q$56),"")</f>
        <v/>
      </c>
      <c r="P33" s="54" t="str">
        <f>IF(AND('Mapa final'!$AA$51="Media",'Mapa final'!$AC$51="Menor"),CONCATENATE("R8C",'Mapa final'!$Q$51),"")</f>
        <v/>
      </c>
      <c r="Q33" s="55" t="str">
        <f>IF(AND('Mapa final'!$AA$52="Media",'Mapa final'!$AC$52="Menor"),CONCATENATE("R8C",'Mapa final'!$Q$52),"")</f>
        <v/>
      </c>
      <c r="R33" s="55" t="str">
        <f>IF(AND('Mapa final'!$AA$53="Media",'Mapa final'!$AC$53="Menor"),CONCATENATE("R8C",'Mapa final'!$Q$53),"")</f>
        <v/>
      </c>
      <c r="S33" s="55" t="str">
        <f>IF(AND('Mapa final'!$AA$54="Media",'Mapa final'!$AC$54="Menor"),CONCATENATE("R8C",'Mapa final'!$Q$54),"")</f>
        <v/>
      </c>
      <c r="T33" s="55" t="str">
        <f>IF(AND('Mapa final'!$AA$55="Media",'Mapa final'!$AC$55="Menor"),CONCATENATE("R8C",'Mapa final'!$Q$55),"")</f>
        <v/>
      </c>
      <c r="U33" s="56" t="str">
        <f>IF(AND('Mapa final'!$AA$56="Media",'Mapa final'!$AC$56="Menor"),CONCATENATE("R8C",'Mapa final'!$Q$56),"")</f>
        <v/>
      </c>
      <c r="V33" s="54" t="str">
        <f>IF(AND('Mapa final'!$AA$51="Media",'Mapa final'!$AC$51="Moderado"),CONCATENATE("R8C",'Mapa final'!$Q$51),"")</f>
        <v/>
      </c>
      <c r="W33" s="55" t="str">
        <f>IF(AND('Mapa final'!$AA$52="Media",'Mapa final'!$AC$52="Moderado"),CONCATENATE("R8C",'Mapa final'!$Q$52),"")</f>
        <v/>
      </c>
      <c r="X33" s="55" t="str">
        <f>IF(AND('Mapa final'!$AA$53="Media",'Mapa final'!$AC$53="Moderado"),CONCATENATE("R8C",'Mapa final'!$Q$53),"")</f>
        <v/>
      </c>
      <c r="Y33" s="55" t="str">
        <f>IF(AND('Mapa final'!$AA$54="Media",'Mapa final'!$AC$54="Moderado"),CONCATENATE("R8C",'Mapa final'!$Q$54),"")</f>
        <v/>
      </c>
      <c r="Z33" s="55" t="str">
        <f>IF(AND('Mapa final'!$AA$55="Media",'Mapa final'!$AC$55="Moderado"),CONCATENATE("R8C",'Mapa final'!$Q$55),"")</f>
        <v/>
      </c>
      <c r="AA33" s="56" t="str">
        <f>IF(AND('Mapa final'!$AA$56="Media",'Mapa final'!$AC$56="Moderado"),CONCATENATE("R8C",'Mapa final'!$Q$56),"")</f>
        <v/>
      </c>
      <c r="AB33" s="38" t="str">
        <f>IF(AND('Mapa final'!$AA$51="Media",'Mapa final'!$AC$51="Mayor"),CONCATENATE("R8C",'Mapa final'!$Q$51),"")</f>
        <v/>
      </c>
      <c r="AC33" s="39" t="str">
        <f>IF(AND('Mapa final'!$AA$52="Media",'Mapa final'!$AC$52="Mayor"),CONCATENATE("R8C",'Mapa final'!$Q$52),"")</f>
        <v/>
      </c>
      <c r="AD33" s="44" t="str">
        <f>IF(AND('Mapa final'!$AA$53="Media",'Mapa final'!$AC$53="Mayor"),CONCATENATE("R8C",'Mapa final'!$Q$53),"")</f>
        <v/>
      </c>
      <c r="AE33" s="44" t="str">
        <f>IF(AND('Mapa final'!$AA$54="Media",'Mapa final'!$AC$54="Mayor"),CONCATENATE("R8C",'Mapa final'!$Q$54),"")</f>
        <v/>
      </c>
      <c r="AF33" s="44" t="str">
        <f>IF(AND('Mapa final'!$AA$55="Media",'Mapa final'!$AC$55="Mayor"),CONCATENATE("R8C",'Mapa final'!$Q$55),"")</f>
        <v/>
      </c>
      <c r="AG33" s="40" t="str">
        <f>IF(AND('Mapa final'!$AA$56="Media",'Mapa final'!$AC$56="Mayor"),CONCATENATE("R8C",'Mapa final'!$Q$56),"")</f>
        <v/>
      </c>
      <c r="AH33" s="41" t="str">
        <f>IF(AND('Mapa final'!$AA$51="Media",'Mapa final'!$AC$51="Catastrófico"),CONCATENATE("R8C",'Mapa final'!$Q$51),"")</f>
        <v/>
      </c>
      <c r="AI33" s="42" t="str">
        <f>IF(AND('Mapa final'!$AA$52="Media",'Mapa final'!$AC$52="Catastrófico"),CONCATENATE("R8C",'Mapa final'!$Q$52),"")</f>
        <v/>
      </c>
      <c r="AJ33" s="42" t="str">
        <f>IF(AND('Mapa final'!$AA$53="Media",'Mapa final'!$AC$53="Catastrófico"),CONCATENATE("R8C",'Mapa final'!$Q$53),"")</f>
        <v/>
      </c>
      <c r="AK33" s="42" t="str">
        <f>IF(AND('Mapa final'!$AA$54="Media",'Mapa final'!$AC$54="Catastrófico"),CONCATENATE("R8C",'Mapa final'!$Q$54),"")</f>
        <v/>
      </c>
      <c r="AL33" s="42" t="str">
        <f>IF(AND('Mapa final'!$AA$55="Media",'Mapa final'!$AC$55="Catastrófico"),CONCATENATE("R8C",'Mapa final'!$Q$55),"")</f>
        <v/>
      </c>
      <c r="AM33" s="43" t="str">
        <f>IF(AND('Mapa final'!$AA$56="Media",'Mapa final'!$AC$56="Catastrófico"),CONCATENATE("R8C",'Mapa final'!$Q$56),"")</f>
        <v/>
      </c>
      <c r="AN33" s="70"/>
      <c r="AO33" s="372"/>
      <c r="AP33" s="373"/>
      <c r="AQ33" s="373"/>
      <c r="AR33" s="373"/>
      <c r="AS33" s="373"/>
      <c r="AT33" s="374"/>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41"/>
      <c r="C34" s="241"/>
      <c r="D34" s="242"/>
      <c r="E34" s="342"/>
      <c r="F34" s="343"/>
      <c r="G34" s="343"/>
      <c r="H34" s="343"/>
      <c r="I34" s="358"/>
      <c r="J34" s="54" t="str">
        <f>IF(AND('Mapa final'!$AA$57="Media",'Mapa final'!$AC$57="Leve"),CONCATENATE("R9C",'Mapa final'!$Q$57),"")</f>
        <v/>
      </c>
      <c r="K34" s="55" t="str">
        <f>IF(AND('Mapa final'!$AA$58="Media",'Mapa final'!$AC$58="Leve"),CONCATENATE("R9C",'Mapa final'!$Q$58),"")</f>
        <v/>
      </c>
      <c r="L34" s="55" t="str">
        <f>IF(AND('Mapa final'!$AA$59="Media",'Mapa final'!$AC$59="Leve"),CONCATENATE("R9C",'Mapa final'!$Q$59),"")</f>
        <v/>
      </c>
      <c r="M34" s="55" t="str">
        <f>IF(AND('Mapa final'!$AA$60="Media",'Mapa final'!$AC$60="Leve"),CONCATENATE("R9C",'Mapa final'!$Q$60),"")</f>
        <v/>
      </c>
      <c r="N34" s="55" t="str">
        <f>IF(AND('Mapa final'!$AA$61="Media",'Mapa final'!$AC$61="Leve"),CONCATENATE("R9C",'Mapa final'!$Q$61),"")</f>
        <v/>
      </c>
      <c r="O34" s="56" t="str">
        <f>IF(AND('Mapa final'!$AA$62="Media",'Mapa final'!$AC$62="Leve"),CONCATENATE("R9C",'Mapa final'!$Q$62),"")</f>
        <v/>
      </c>
      <c r="P34" s="54" t="str">
        <f>IF(AND('Mapa final'!$AA$57="Media",'Mapa final'!$AC$57="Menor"),CONCATENATE("R9C",'Mapa final'!$Q$57),"")</f>
        <v/>
      </c>
      <c r="Q34" s="55" t="str">
        <f>IF(AND('Mapa final'!$AA$58="Media",'Mapa final'!$AC$58="Menor"),CONCATENATE("R9C",'Mapa final'!$Q$58),"")</f>
        <v/>
      </c>
      <c r="R34" s="55" t="str">
        <f>IF(AND('Mapa final'!$AA$59="Media",'Mapa final'!$AC$59="Menor"),CONCATENATE("R9C",'Mapa final'!$Q$59),"")</f>
        <v/>
      </c>
      <c r="S34" s="55" t="str">
        <f>IF(AND('Mapa final'!$AA$60="Media",'Mapa final'!$AC$60="Menor"),CONCATENATE("R9C",'Mapa final'!$Q$60),"")</f>
        <v/>
      </c>
      <c r="T34" s="55" t="str">
        <f>IF(AND('Mapa final'!$AA$61="Media",'Mapa final'!$AC$61="Menor"),CONCATENATE("R9C",'Mapa final'!$Q$61),"")</f>
        <v/>
      </c>
      <c r="U34" s="56" t="str">
        <f>IF(AND('Mapa final'!$AA$62="Media",'Mapa final'!$AC$62="Menor"),CONCATENATE("R9C",'Mapa final'!$Q$62),"")</f>
        <v/>
      </c>
      <c r="V34" s="54" t="str">
        <f>IF(AND('Mapa final'!$AA$57="Media",'Mapa final'!$AC$57="Moderado"),CONCATENATE("R9C",'Mapa final'!$Q$57),"")</f>
        <v/>
      </c>
      <c r="W34" s="55" t="str">
        <f>IF(AND('Mapa final'!$AA$58="Media",'Mapa final'!$AC$58="Moderado"),CONCATENATE("R9C",'Mapa final'!$Q$58),"")</f>
        <v/>
      </c>
      <c r="X34" s="55" t="str">
        <f>IF(AND('Mapa final'!$AA$59="Media",'Mapa final'!$AC$59="Moderado"),CONCATENATE("R9C",'Mapa final'!$Q$59),"")</f>
        <v/>
      </c>
      <c r="Y34" s="55" t="str">
        <f>IF(AND('Mapa final'!$AA$60="Media",'Mapa final'!$AC$60="Moderado"),CONCATENATE("R9C",'Mapa final'!$Q$60),"")</f>
        <v/>
      </c>
      <c r="Z34" s="55" t="str">
        <f>IF(AND('Mapa final'!$AA$61="Media",'Mapa final'!$AC$61="Moderado"),CONCATENATE("R9C",'Mapa final'!$Q$61),"")</f>
        <v/>
      </c>
      <c r="AA34" s="56" t="str">
        <f>IF(AND('Mapa final'!$AA$62="Media",'Mapa final'!$AC$62="Moderado"),CONCATENATE("R9C",'Mapa final'!$Q$62),"")</f>
        <v/>
      </c>
      <c r="AB34" s="38" t="str">
        <f>IF(AND('Mapa final'!$AA$57="Media",'Mapa final'!$AC$57="Mayor"),CONCATENATE("R9C",'Mapa final'!$Q$57),"")</f>
        <v/>
      </c>
      <c r="AC34" s="39" t="str">
        <f>IF(AND('Mapa final'!$AA$58="Media",'Mapa final'!$AC$58="Mayor"),CONCATENATE("R9C",'Mapa final'!$Q$58),"")</f>
        <v/>
      </c>
      <c r="AD34" s="44" t="str">
        <f>IF(AND('Mapa final'!$AA$59="Media",'Mapa final'!$AC$59="Mayor"),CONCATENATE("R9C",'Mapa final'!$Q$59),"")</f>
        <v/>
      </c>
      <c r="AE34" s="44" t="str">
        <f>IF(AND('Mapa final'!$AA$60="Media",'Mapa final'!$AC$60="Mayor"),CONCATENATE("R9C",'Mapa final'!$Q$60),"")</f>
        <v/>
      </c>
      <c r="AF34" s="44" t="str">
        <f>IF(AND('Mapa final'!$AA$61="Media",'Mapa final'!$AC$61="Mayor"),CONCATENATE("R9C",'Mapa final'!$Q$61),"")</f>
        <v/>
      </c>
      <c r="AG34" s="40" t="str">
        <f>IF(AND('Mapa final'!$AA$62="Media",'Mapa final'!$AC$62="Mayor"),CONCATENATE("R9C",'Mapa final'!$Q$62),"")</f>
        <v/>
      </c>
      <c r="AH34" s="41" t="str">
        <f>IF(AND('Mapa final'!$AA$57="Media",'Mapa final'!$AC$57="Catastrófico"),CONCATENATE("R9C",'Mapa final'!$Q$57),"")</f>
        <v/>
      </c>
      <c r="AI34" s="42" t="str">
        <f>IF(AND('Mapa final'!$AA$58="Media",'Mapa final'!$AC$58="Catastrófico"),CONCATENATE("R9C",'Mapa final'!$Q$58),"")</f>
        <v/>
      </c>
      <c r="AJ34" s="42" t="str">
        <f>IF(AND('Mapa final'!$AA$59="Media",'Mapa final'!$AC$59="Catastrófico"),CONCATENATE("R9C",'Mapa final'!$Q$59),"")</f>
        <v/>
      </c>
      <c r="AK34" s="42" t="str">
        <f>IF(AND('Mapa final'!$AA$60="Media",'Mapa final'!$AC$60="Catastrófico"),CONCATENATE("R9C",'Mapa final'!$Q$60),"")</f>
        <v/>
      </c>
      <c r="AL34" s="42" t="str">
        <f>IF(AND('Mapa final'!$AA$61="Media",'Mapa final'!$AC$61="Catastrófico"),CONCATENATE("R9C",'Mapa final'!$Q$61),"")</f>
        <v/>
      </c>
      <c r="AM34" s="43" t="str">
        <f>IF(AND('Mapa final'!$AA$62="Media",'Mapa final'!$AC$62="Catastrófico"),CONCATENATE("R9C",'Mapa final'!$Q$62),"")</f>
        <v/>
      </c>
      <c r="AN34" s="70"/>
      <c r="AO34" s="372"/>
      <c r="AP34" s="373"/>
      <c r="AQ34" s="373"/>
      <c r="AR34" s="373"/>
      <c r="AS34" s="373"/>
      <c r="AT34" s="374"/>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41"/>
      <c r="C35" s="241"/>
      <c r="D35" s="242"/>
      <c r="E35" s="344"/>
      <c r="F35" s="345"/>
      <c r="G35" s="345"/>
      <c r="H35" s="345"/>
      <c r="I35" s="359"/>
      <c r="J35" s="54" t="str">
        <f>IF(AND('Mapa final'!$AA$63="Media",'Mapa final'!$AC$63="Leve"),CONCATENATE("R10C",'Mapa final'!$Q$63),"")</f>
        <v/>
      </c>
      <c r="K35" s="55" t="str">
        <f>IF(AND('Mapa final'!$AA$64="Media",'Mapa final'!$AC$64="Leve"),CONCATENATE("R10C",'Mapa final'!$Q$64),"")</f>
        <v/>
      </c>
      <c r="L35" s="55" t="str">
        <f>IF(AND('Mapa final'!$AA$65="Media",'Mapa final'!$AC$65="Leve"),CONCATENATE("R10C",'Mapa final'!$Q$65),"")</f>
        <v/>
      </c>
      <c r="M35" s="55" t="str">
        <f>IF(AND('Mapa final'!$AA$66="Media",'Mapa final'!$AC$66="Leve"),CONCATENATE("R10C",'Mapa final'!$Q$66),"")</f>
        <v/>
      </c>
      <c r="N35" s="55" t="str">
        <f>IF(AND('Mapa final'!$AA$67="Media",'Mapa final'!$AC$67="Leve"),CONCATENATE("R10C",'Mapa final'!$Q$67),"")</f>
        <v/>
      </c>
      <c r="O35" s="56" t="str">
        <f>IF(AND('Mapa final'!$AA$68="Media",'Mapa final'!$AC$68="Leve"),CONCATENATE("R10C",'Mapa final'!$Q$68),"")</f>
        <v/>
      </c>
      <c r="P35" s="54" t="str">
        <f>IF(AND('Mapa final'!$AA$63="Media",'Mapa final'!$AC$63="Menor"),CONCATENATE("R10C",'Mapa final'!$Q$63),"")</f>
        <v/>
      </c>
      <c r="Q35" s="55" t="str">
        <f>IF(AND('Mapa final'!$AA$64="Media",'Mapa final'!$AC$64="Menor"),CONCATENATE("R10C",'Mapa final'!$Q$64),"")</f>
        <v/>
      </c>
      <c r="R35" s="55" t="str">
        <f>IF(AND('Mapa final'!$AA$65="Media",'Mapa final'!$AC$65="Menor"),CONCATENATE("R10C",'Mapa final'!$Q$65),"")</f>
        <v/>
      </c>
      <c r="S35" s="55" t="str">
        <f>IF(AND('Mapa final'!$AA$66="Media",'Mapa final'!$AC$66="Menor"),CONCATENATE("R10C",'Mapa final'!$Q$66),"")</f>
        <v/>
      </c>
      <c r="T35" s="55" t="str">
        <f>IF(AND('Mapa final'!$AA$67="Media",'Mapa final'!$AC$67="Menor"),CONCATENATE("R10C",'Mapa final'!$Q$67),"")</f>
        <v/>
      </c>
      <c r="U35" s="56" t="str">
        <f>IF(AND('Mapa final'!$AA$68="Media",'Mapa final'!$AC$68="Menor"),CONCATENATE("R10C",'Mapa final'!$Q$68),"")</f>
        <v/>
      </c>
      <c r="V35" s="54" t="str">
        <f>IF(AND('Mapa final'!$AA$63="Media",'Mapa final'!$AC$63="Moderado"),CONCATENATE("R10C",'Mapa final'!$Q$63),"")</f>
        <v/>
      </c>
      <c r="W35" s="55" t="str">
        <f>IF(AND('Mapa final'!$AA$64="Media",'Mapa final'!$AC$64="Moderado"),CONCATENATE("R10C",'Mapa final'!$Q$64),"")</f>
        <v/>
      </c>
      <c r="X35" s="55" t="str">
        <f>IF(AND('Mapa final'!$AA$65="Media",'Mapa final'!$AC$65="Moderado"),CONCATENATE("R10C",'Mapa final'!$Q$65),"")</f>
        <v/>
      </c>
      <c r="Y35" s="55" t="str">
        <f>IF(AND('Mapa final'!$AA$66="Media",'Mapa final'!$AC$66="Moderado"),CONCATENATE("R10C",'Mapa final'!$Q$66),"")</f>
        <v/>
      </c>
      <c r="Z35" s="55" t="str">
        <f>IF(AND('Mapa final'!$AA$67="Media",'Mapa final'!$AC$67="Moderado"),CONCATENATE("R10C",'Mapa final'!$Q$67),"")</f>
        <v/>
      </c>
      <c r="AA35" s="56" t="str">
        <f>IF(AND('Mapa final'!$AA$68="Media",'Mapa final'!$AC$68="Moderado"),CONCATENATE("R10C",'Mapa final'!$Q$68),"")</f>
        <v/>
      </c>
      <c r="AB35" s="45" t="str">
        <f>IF(AND('Mapa final'!$AA$63="Media",'Mapa final'!$AC$63="Mayor"),CONCATENATE("R10C",'Mapa final'!$Q$63),"")</f>
        <v/>
      </c>
      <c r="AC35" s="46" t="str">
        <f>IF(AND('Mapa final'!$AA$64="Media",'Mapa final'!$AC$64="Mayor"),CONCATENATE("R10C",'Mapa final'!$Q$64),"")</f>
        <v/>
      </c>
      <c r="AD35" s="46" t="str">
        <f>IF(AND('Mapa final'!$AA$65="Media",'Mapa final'!$AC$65="Mayor"),CONCATENATE("R10C",'Mapa final'!$Q$65),"")</f>
        <v/>
      </c>
      <c r="AE35" s="46" t="str">
        <f>IF(AND('Mapa final'!$AA$66="Media",'Mapa final'!$AC$66="Mayor"),CONCATENATE("R10C",'Mapa final'!$Q$66),"")</f>
        <v/>
      </c>
      <c r="AF35" s="46" t="str">
        <f>IF(AND('Mapa final'!$AA$67="Media",'Mapa final'!$AC$67="Mayor"),CONCATENATE("R10C",'Mapa final'!$Q$67),"")</f>
        <v/>
      </c>
      <c r="AG35" s="47" t="str">
        <f>IF(AND('Mapa final'!$AA$68="Media",'Mapa final'!$AC$68="Mayor"),CONCATENATE("R10C",'Mapa final'!$Q$68),"")</f>
        <v/>
      </c>
      <c r="AH35" s="48" t="str">
        <f>IF(AND('Mapa final'!$AA$63="Media",'Mapa final'!$AC$63="Catastrófico"),CONCATENATE("R10C",'Mapa final'!$Q$63),"")</f>
        <v/>
      </c>
      <c r="AI35" s="49" t="str">
        <f>IF(AND('Mapa final'!$AA$64="Media",'Mapa final'!$AC$64="Catastrófico"),CONCATENATE("R10C",'Mapa final'!$Q$64),"")</f>
        <v/>
      </c>
      <c r="AJ35" s="49" t="str">
        <f>IF(AND('Mapa final'!$AA$65="Media",'Mapa final'!$AC$65="Catastrófico"),CONCATENATE("R10C",'Mapa final'!$Q$65),"")</f>
        <v/>
      </c>
      <c r="AK35" s="49" t="str">
        <f>IF(AND('Mapa final'!$AA$66="Media",'Mapa final'!$AC$66="Catastrófico"),CONCATENATE("R10C",'Mapa final'!$Q$66),"")</f>
        <v/>
      </c>
      <c r="AL35" s="49" t="str">
        <f>IF(AND('Mapa final'!$AA$67="Media",'Mapa final'!$AC$67="Catastrófico"),CONCATENATE("R10C",'Mapa final'!$Q$67),"")</f>
        <v/>
      </c>
      <c r="AM35" s="50" t="str">
        <f>IF(AND('Mapa final'!$AA$68="Media",'Mapa final'!$AC$68="Catastrófico"),CONCATENATE("R10C",'Mapa final'!$Q$68),"")</f>
        <v/>
      </c>
      <c r="AN35" s="70"/>
      <c r="AO35" s="375"/>
      <c r="AP35" s="376"/>
      <c r="AQ35" s="376"/>
      <c r="AR35" s="376"/>
      <c r="AS35" s="376"/>
      <c r="AT35" s="377"/>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41"/>
      <c r="C36" s="241"/>
      <c r="D36" s="242"/>
      <c r="E36" s="338" t="s">
        <v>110</v>
      </c>
      <c r="F36" s="339"/>
      <c r="G36" s="339"/>
      <c r="H36" s="339"/>
      <c r="I36" s="339"/>
      <c r="J36" s="60" t="str">
        <f>IF(AND('Mapa final'!$AA$9="Baja",'Mapa final'!$AC$9="Leve"),CONCATENATE("R1C",'Mapa final'!$Q$9),"")</f>
        <v>R1C1</v>
      </c>
      <c r="K36" s="61" t="str">
        <f>IF(AND('Mapa final'!$AA$10="Baja",'Mapa final'!$AC$10="Leve"),CONCATENATE("R1C",'Mapa final'!$Q$10),"")</f>
        <v>R1C2</v>
      </c>
      <c r="L36" s="61" t="str">
        <f>IF(AND('Mapa final'!$AA$11="Baja",'Mapa final'!$AC$11="Leve"),CONCATENATE("R1C",'Mapa final'!$Q$11),"")</f>
        <v/>
      </c>
      <c r="M36" s="61" t="str">
        <f>IF(AND('Mapa final'!$AA$12="Baja",'Mapa final'!$AC$12="Leve"),CONCATENATE("R1C",'Mapa final'!$Q$12),"")</f>
        <v/>
      </c>
      <c r="N36" s="61" t="str">
        <f>IF(AND('Mapa final'!$AA$13="Baja",'Mapa final'!$AC$13="Leve"),CONCATENATE("R1C",'Mapa final'!$Q$13),"")</f>
        <v/>
      </c>
      <c r="O36" s="62" t="str">
        <f>IF(AND('Mapa final'!$AA$14="Baja",'Mapa final'!$AC$14="Leve"),CONCATENATE("R1C",'Mapa final'!$Q$14),"")</f>
        <v/>
      </c>
      <c r="P36" s="51" t="str">
        <f>IF(AND('Mapa final'!$AA$9="Baja",'Mapa final'!$AC$9="Menor"),CONCATENATE("R1C",'Mapa final'!$Q$9),"")</f>
        <v/>
      </c>
      <c r="Q36" s="52" t="str">
        <f>IF(AND('Mapa final'!$AA$10="Baja",'Mapa final'!$AC$10="Menor"),CONCATENATE("R1C",'Mapa final'!$Q$10),"")</f>
        <v/>
      </c>
      <c r="R36" s="52" t="str">
        <f>IF(AND('Mapa final'!$AA$11="Baja",'Mapa final'!$AC$11="Menor"),CONCATENATE("R1C",'Mapa final'!$Q$11),"")</f>
        <v/>
      </c>
      <c r="S36" s="52" t="str">
        <f>IF(AND('Mapa final'!$AA$12="Baja",'Mapa final'!$AC$12="Menor"),CONCATENATE("R1C",'Mapa final'!$Q$12),"")</f>
        <v/>
      </c>
      <c r="T36" s="52" t="str">
        <f>IF(AND('Mapa final'!$AA$13="Baja",'Mapa final'!$AC$13="Menor"),CONCATENATE("R1C",'Mapa final'!$Q$13),"")</f>
        <v/>
      </c>
      <c r="U36" s="53" t="str">
        <f>IF(AND('Mapa final'!$AA$14="Baja",'Mapa final'!$AC$14="Menor"),CONCATENATE("R1C",'Mapa final'!$Q$14),"")</f>
        <v/>
      </c>
      <c r="V36" s="51" t="str">
        <f>IF(AND('Mapa final'!$AA$9="Baja",'Mapa final'!$AC$9="Moderado"),CONCATENATE("R1C",'Mapa final'!$Q$9),"")</f>
        <v/>
      </c>
      <c r="W36" s="52" t="str">
        <f>IF(AND('Mapa final'!$AA$10="Baja",'Mapa final'!$AC$10="Moderado"),CONCATENATE("R1C",'Mapa final'!$Q$10),"")</f>
        <v/>
      </c>
      <c r="X36" s="52" t="str">
        <f>IF(AND('Mapa final'!$AA$11="Baja",'Mapa final'!$AC$11="Moderado"),CONCATENATE("R1C",'Mapa final'!$Q$11),"")</f>
        <v/>
      </c>
      <c r="Y36" s="52" t="str">
        <f>IF(AND('Mapa final'!$AA$12="Baja",'Mapa final'!$AC$12="Moderado"),CONCATENATE("R1C",'Mapa final'!$Q$12),"")</f>
        <v/>
      </c>
      <c r="Z36" s="52" t="str">
        <f>IF(AND('Mapa final'!$AA$13="Baja",'Mapa final'!$AC$13="Moderado"),CONCATENATE("R1C",'Mapa final'!$Q$13),"")</f>
        <v/>
      </c>
      <c r="AA36" s="53" t="str">
        <f>IF(AND('Mapa final'!$AA$14="Baja",'Mapa final'!$AC$14="Moderado"),CONCATENATE("R1C",'Mapa final'!$Q$14),"")</f>
        <v/>
      </c>
      <c r="AB36" s="32" t="str">
        <f>IF(AND('Mapa final'!$AA$9="Baja",'Mapa final'!$AC$9="Mayor"),CONCATENATE("R1C",'Mapa final'!$Q$9),"")</f>
        <v/>
      </c>
      <c r="AC36" s="33" t="str">
        <f>IF(AND('Mapa final'!$AA$10="Baja",'Mapa final'!$AC$10="Mayor"),CONCATENATE("R1C",'Mapa final'!$Q$10),"")</f>
        <v/>
      </c>
      <c r="AD36" s="33" t="str">
        <f>IF(AND('Mapa final'!$AA$11="Baja",'Mapa final'!$AC$11="Mayor"),CONCATENATE("R1C",'Mapa final'!$Q$11),"")</f>
        <v/>
      </c>
      <c r="AE36" s="33" t="str">
        <f>IF(AND('Mapa final'!$AA$12="Baja",'Mapa final'!$AC$12="Mayor"),CONCATENATE("R1C",'Mapa final'!$Q$12),"")</f>
        <v/>
      </c>
      <c r="AF36" s="33" t="str">
        <f>IF(AND('Mapa final'!$AA$13="Baja",'Mapa final'!$AC$13="Mayor"),CONCATENATE("R1C",'Mapa final'!$Q$13),"")</f>
        <v/>
      </c>
      <c r="AG36" s="34" t="str">
        <f>IF(AND('Mapa final'!$AA$14="Baja",'Mapa final'!$AC$14="Mayor"),CONCATENATE("R1C",'Mapa final'!$Q$14),"")</f>
        <v/>
      </c>
      <c r="AH36" s="35" t="str">
        <f>IF(AND('Mapa final'!$AA$9="Baja",'Mapa final'!$AC$9="Catastrófico"),CONCATENATE("R1C",'Mapa final'!$Q$9),"")</f>
        <v/>
      </c>
      <c r="AI36" s="36" t="str">
        <f>IF(AND('Mapa final'!$AA$10="Baja",'Mapa final'!$AC$10="Catastrófico"),CONCATENATE("R1C",'Mapa final'!$Q$10),"")</f>
        <v/>
      </c>
      <c r="AJ36" s="36" t="str">
        <f>IF(AND('Mapa final'!$AA$11="Baja",'Mapa final'!$AC$11="Catastrófico"),CONCATENATE("R1C",'Mapa final'!$Q$11),"")</f>
        <v/>
      </c>
      <c r="AK36" s="36" t="str">
        <f>IF(AND('Mapa final'!$AA$12="Baja",'Mapa final'!$AC$12="Catastrófico"),CONCATENATE("R1C",'Mapa final'!$Q$12),"")</f>
        <v/>
      </c>
      <c r="AL36" s="36" t="str">
        <f>IF(AND('Mapa final'!$AA$13="Baja",'Mapa final'!$AC$13="Catastrófico"),CONCATENATE("R1C",'Mapa final'!$Q$13),"")</f>
        <v/>
      </c>
      <c r="AM36" s="37" t="str">
        <f>IF(AND('Mapa final'!$AA$14="Baja",'Mapa final'!$AC$14="Catastrófico"),CONCATENATE("R1C",'Mapa final'!$Q$14),"")</f>
        <v/>
      </c>
      <c r="AN36" s="70"/>
      <c r="AO36" s="360" t="s">
        <v>78</v>
      </c>
      <c r="AP36" s="361"/>
      <c r="AQ36" s="361"/>
      <c r="AR36" s="361"/>
      <c r="AS36" s="361"/>
      <c r="AT36" s="362"/>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41"/>
      <c r="C37" s="241"/>
      <c r="D37" s="242"/>
      <c r="E37" s="340"/>
      <c r="F37" s="341"/>
      <c r="G37" s="341"/>
      <c r="H37" s="341"/>
      <c r="I37" s="341"/>
      <c r="J37" s="63" t="str">
        <f>IF(AND('Mapa final'!$AA$15="Baja",'Mapa final'!$AC$15="Leve"),CONCATENATE("R2C",'Mapa final'!$Q$15),"")</f>
        <v/>
      </c>
      <c r="K37" s="64" t="str">
        <f>IF(AND('Mapa final'!$AA$16="Baja",'Mapa final'!$AC$16="Leve"),CONCATENATE("R2C",'Mapa final'!$Q$16),"")</f>
        <v/>
      </c>
      <c r="L37" s="64" t="str">
        <f>IF(AND('Mapa final'!$AA$17="Baja",'Mapa final'!$AC$17="Leve"),CONCATENATE("R2C",'Mapa final'!$Q$17),"")</f>
        <v/>
      </c>
      <c r="M37" s="64" t="str">
        <f>IF(AND('Mapa final'!$AA$18="Baja",'Mapa final'!$AC$18="Leve"),CONCATENATE("R2C",'Mapa final'!$Q$18),"")</f>
        <v/>
      </c>
      <c r="N37" s="64" t="str">
        <f>IF(AND('Mapa final'!$AA$19="Baja",'Mapa final'!$AC$19="Leve"),CONCATENATE("R2C",'Mapa final'!$Q$19),"")</f>
        <v/>
      </c>
      <c r="O37" s="65" t="str">
        <f>IF(AND('Mapa final'!$AA$20="Baja",'Mapa final'!$AC$20="Leve"),CONCATENATE("R2C",'Mapa final'!$Q$20),"")</f>
        <v/>
      </c>
      <c r="P37" s="54" t="str">
        <f>IF(AND('Mapa final'!$AA$15="Baja",'Mapa final'!$AC$15="Menor"),CONCATENATE("R2C",'Mapa final'!$Q$15),"")</f>
        <v/>
      </c>
      <c r="Q37" s="55" t="str">
        <f>IF(AND('Mapa final'!$AA$16="Baja",'Mapa final'!$AC$16="Menor"),CONCATENATE("R2C",'Mapa final'!$Q$16),"")</f>
        <v/>
      </c>
      <c r="R37" s="55" t="str">
        <f>IF(AND('Mapa final'!$AA$17="Baja",'Mapa final'!$AC$17="Menor"),CONCATENATE("R2C",'Mapa final'!$Q$17),"")</f>
        <v/>
      </c>
      <c r="S37" s="55" t="str">
        <f>IF(AND('Mapa final'!$AA$18="Baja",'Mapa final'!$AC$18="Menor"),CONCATENATE("R2C",'Mapa final'!$Q$18),"")</f>
        <v/>
      </c>
      <c r="T37" s="55" t="str">
        <f>IF(AND('Mapa final'!$AA$19="Baja",'Mapa final'!$AC$19="Menor"),CONCATENATE("R2C",'Mapa final'!$Q$19),"")</f>
        <v/>
      </c>
      <c r="U37" s="56" t="str">
        <f>IF(AND('Mapa final'!$AA$20="Baja",'Mapa final'!$AC$20="Menor"),CONCATENATE("R2C",'Mapa final'!$Q$20),"")</f>
        <v/>
      </c>
      <c r="V37" s="54" t="str">
        <f>IF(AND('Mapa final'!$AA$15="Baja",'Mapa final'!$AC$15="Moderado"),CONCATENATE("R2C",'Mapa final'!$Q$15),"")</f>
        <v/>
      </c>
      <c r="W37" s="55" t="str">
        <f>IF(AND('Mapa final'!$AA$16="Baja",'Mapa final'!$AC$16="Moderado"),CONCATENATE("R2C",'Mapa final'!$Q$16),"")</f>
        <v/>
      </c>
      <c r="X37" s="55" t="str">
        <f>IF(AND('Mapa final'!$AA$17="Baja",'Mapa final'!$AC$17="Moderado"),CONCATENATE("R2C",'Mapa final'!$Q$17),"")</f>
        <v/>
      </c>
      <c r="Y37" s="55" t="str">
        <f>IF(AND('Mapa final'!$AA$18="Baja",'Mapa final'!$AC$18="Moderado"),CONCATENATE("R2C",'Mapa final'!$Q$18),"")</f>
        <v/>
      </c>
      <c r="Z37" s="55" t="str">
        <f>IF(AND('Mapa final'!$AA$19="Baja",'Mapa final'!$AC$19="Moderado"),CONCATENATE("R2C",'Mapa final'!$Q$19),"")</f>
        <v/>
      </c>
      <c r="AA37" s="56" t="str">
        <f>IF(AND('Mapa final'!$AA$20="Baja",'Mapa final'!$AC$20="Moderado"),CONCATENATE("R2C",'Mapa final'!$Q$20),"")</f>
        <v/>
      </c>
      <c r="AB37" s="38" t="str">
        <f>IF(AND('Mapa final'!$AA$15="Baja",'Mapa final'!$AC$15="Mayor"),CONCATENATE("R2C",'Mapa final'!$Q$15),"")</f>
        <v/>
      </c>
      <c r="AC37" s="39" t="str">
        <f>IF(AND('Mapa final'!$AA$16="Baja",'Mapa final'!$AC$16="Mayor"),CONCATENATE("R2C",'Mapa final'!$Q$16),"")</f>
        <v/>
      </c>
      <c r="AD37" s="39" t="str">
        <f>IF(AND('Mapa final'!$AA$17="Baja",'Mapa final'!$AC$17="Mayor"),CONCATENATE("R2C",'Mapa final'!$Q$17),"")</f>
        <v/>
      </c>
      <c r="AE37" s="39" t="str">
        <f>IF(AND('Mapa final'!$AA$18="Baja",'Mapa final'!$AC$18="Mayor"),CONCATENATE("R2C",'Mapa final'!$Q$18),"")</f>
        <v/>
      </c>
      <c r="AF37" s="39" t="str">
        <f>IF(AND('Mapa final'!$AA$19="Baja",'Mapa final'!$AC$19="Mayor"),CONCATENATE("R2C",'Mapa final'!$Q$19),"")</f>
        <v/>
      </c>
      <c r="AG37" s="40" t="str">
        <f>IF(AND('Mapa final'!$AA$20="Baja",'Mapa final'!$AC$20="Mayor"),CONCATENATE("R2C",'Mapa final'!$Q$20),"")</f>
        <v/>
      </c>
      <c r="AH37" s="41" t="str">
        <f>IF(AND('Mapa final'!$AA$15="Baja",'Mapa final'!$AC$15="Catastrófico"),CONCATENATE("R2C",'Mapa final'!$Q$15),"")</f>
        <v/>
      </c>
      <c r="AI37" s="42" t="str">
        <f>IF(AND('Mapa final'!$AA$16="Baja",'Mapa final'!$AC$16="Catastrófico"),CONCATENATE("R2C",'Mapa final'!$Q$16),"")</f>
        <v/>
      </c>
      <c r="AJ37" s="42" t="str">
        <f>IF(AND('Mapa final'!$AA$17="Baja",'Mapa final'!$AC$17="Catastrófico"),CONCATENATE("R2C",'Mapa final'!$Q$17),"")</f>
        <v/>
      </c>
      <c r="AK37" s="42" t="str">
        <f>IF(AND('Mapa final'!$AA$18="Baja",'Mapa final'!$AC$18="Catastrófico"),CONCATENATE("R2C",'Mapa final'!$Q$18),"")</f>
        <v/>
      </c>
      <c r="AL37" s="42" t="str">
        <f>IF(AND('Mapa final'!$AA$19="Baja",'Mapa final'!$AC$19="Catastrófico"),CONCATENATE("R2C",'Mapa final'!$Q$19),"")</f>
        <v/>
      </c>
      <c r="AM37" s="43" t="str">
        <f>IF(AND('Mapa final'!$AA$20="Baja",'Mapa final'!$AC$20="Catastrófico"),CONCATENATE("R2C",'Mapa final'!$Q$20),"")</f>
        <v/>
      </c>
      <c r="AN37" s="70"/>
      <c r="AO37" s="363"/>
      <c r="AP37" s="364"/>
      <c r="AQ37" s="364"/>
      <c r="AR37" s="364"/>
      <c r="AS37" s="364"/>
      <c r="AT37" s="365"/>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41"/>
      <c r="C38" s="241"/>
      <c r="D38" s="242"/>
      <c r="E38" s="342"/>
      <c r="F38" s="343"/>
      <c r="G38" s="343"/>
      <c r="H38" s="343"/>
      <c r="I38" s="341"/>
      <c r="J38" s="63" t="str">
        <f>IF(AND('Mapa final'!$AA$21="Baja",'Mapa final'!$AC$21="Leve"),CONCATENATE("R3C",'Mapa final'!$Q$21),"")</f>
        <v/>
      </c>
      <c r="K38" s="64" t="str">
        <f>IF(AND('Mapa final'!$AA$22="Baja",'Mapa final'!$AC$22="Leve"),CONCATENATE("R3C",'Mapa final'!$Q$22),"")</f>
        <v/>
      </c>
      <c r="L38" s="64" t="str">
        <f>IF(AND('Mapa final'!$AA$23="Baja",'Mapa final'!$AC$23="Leve"),CONCATENATE("R3C",'Mapa final'!$Q$23),"")</f>
        <v/>
      </c>
      <c r="M38" s="64" t="str">
        <f>IF(AND('Mapa final'!$AA$24="Baja",'Mapa final'!$AC$24="Leve"),CONCATENATE("R3C",'Mapa final'!$Q$24),"")</f>
        <v/>
      </c>
      <c r="N38" s="64" t="str">
        <f>IF(AND('Mapa final'!$AA$25="Baja",'Mapa final'!$AC$25="Leve"),CONCATENATE("R3C",'Mapa final'!$Q$25),"")</f>
        <v/>
      </c>
      <c r="O38" s="65" t="str">
        <f>IF(AND('Mapa final'!$AA$26="Baja",'Mapa final'!$AC$26="Leve"),CONCATENATE("R3C",'Mapa final'!$Q$26),"")</f>
        <v/>
      </c>
      <c r="P38" s="54" t="str">
        <f>IF(AND('Mapa final'!$AA$21="Baja",'Mapa final'!$AC$21="Menor"),CONCATENATE("R3C",'Mapa final'!$Q$21),"")</f>
        <v/>
      </c>
      <c r="Q38" s="55" t="str">
        <f>IF(AND('Mapa final'!$AA$22="Baja",'Mapa final'!$AC$22="Menor"),CONCATENATE("R3C",'Mapa final'!$Q$22),"")</f>
        <v/>
      </c>
      <c r="R38" s="55" t="str">
        <f>IF(AND('Mapa final'!$AA$23="Baja",'Mapa final'!$AC$23="Menor"),CONCATENATE("R3C",'Mapa final'!$Q$23),"")</f>
        <v/>
      </c>
      <c r="S38" s="55" t="str">
        <f>IF(AND('Mapa final'!$AA$24="Baja",'Mapa final'!$AC$24="Menor"),CONCATENATE("R3C",'Mapa final'!$Q$24),"")</f>
        <v/>
      </c>
      <c r="T38" s="55" t="str">
        <f>IF(AND('Mapa final'!$AA$25="Baja",'Mapa final'!$AC$25="Menor"),CONCATENATE("R3C",'Mapa final'!$Q$25),"")</f>
        <v/>
      </c>
      <c r="U38" s="56" t="str">
        <f>IF(AND('Mapa final'!$AA$26="Baja",'Mapa final'!$AC$26="Menor"),CONCATENATE("R3C",'Mapa final'!$Q$26),"")</f>
        <v/>
      </c>
      <c r="V38" s="54" t="str">
        <f>IF(AND('Mapa final'!$AA$21="Baja",'Mapa final'!$AC$21="Moderado"),CONCATENATE("R3C",'Mapa final'!$Q$21),"")</f>
        <v/>
      </c>
      <c r="W38" s="55" t="str">
        <f>IF(AND('Mapa final'!$AA$22="Baja",'Mapa final'!$AC$22="Moderado"),CONCATENATE("R3C",'Mapa final'!$Q$22),"")</f>
        <v/>
      </c>
      <c r="X38" s="55" t="str">
        <f>IF(AND('Mapa final'!$AA$23="Baja",'Mapa final'!$AC$23="Moderado"),CONCATENATE("R3C",'Mapa final'!$Q$23),"")</f>
        <v/>
      </c>
      <c r="Y38" s="55" t="str">
        <f>IF(AND('Mapa final'!$AA$24="Baja",'Mapa final'!$AC$24="Moderado"),CONCATENATE("R3C",'Mapa final'!$Q$24),"")</f>
        <v/>
      </c>
      <c r="Z38" s="55" t="str">
        <f>IF(AND('Mapa final'!$AA$25="Baja",'Mapa final'!$AC$25="Moderado"),CONCATENATE("R3C",'Mapa final'!$Q$25),"")</f>
        <v/>
      </c>
      <c r="AA38" s="56" t="str">
        <f>IF(AND('Mapa final'!$AA$26="Baja",'Mapa final'!$AC$26="Moderado"),CONCATENATE("R3C",'Mapa final'!$Q$26),"")</f>
        <v/>
      </c>
      <c r="AB38" s="38" t="str">
        <f>IF(AND('Mapa final'!$AA$21="Baja",'Mapa final'!$AC$21="Mayor"),CONCATENATE("R3C",'Mapa final'!$Q$21),"")</f>
        <v/>
      </c>
      <c r="AC38" s="39" t="str">
        <f>IF(AND('Mapa final'!$AA$22="Baja",'Mapa final'!$AC$22="Mayor"),CONCATENATE("R3C",'Mapa final'!$Q$22),"")</f>
        <v/>
      </c>
      <c r="AD38" s="39" t="str">
        <f>IF(AND('Mapa final'!$AA$23="Baja",'Mapa final'!$AC$23="Mayor"),CONCATENATE("R3C",'Mapa final'!$Q$23),"")</f>
        <v/>
      </c>
      <c r="AE38" s="39" t="str">
        <f>IF(AND('Mapa final'!$AA$24="Baja",'Mapa final'!$AC$24="Mayor"),CONCATENATE("R3C",'Mapa final'!$Q$24),"")</f>
        <v/>
      </c>
      <c r="AF38" s="39" t="str">
        <f>IF(AND('Mapa final'!$AA$25="Baja",'Mapa final'!$AC$25="Mayor"),CONCATENATE("R3C",'Mapa final'!$Q$25),"")</f>
        <v/>
      </c>
      <c r="AG38" s="40" t="str">
        <f>IF(AND('Mapa final'!$AA$26="Baja",'Mapa final'!$AC$26="Mayor"),CONCATENATE("R3C",'Mapa final'!$Q$26),"")</f>
        <v/>
      </c>
      <c r="AH38" s="41" t="str">
        <f>IF(AND('Mapa final'!$AA$21="Baja",'Mapa final'!$AC$21="Catastrófico"),CONCATENATE("R3C",'Mapa final'!$Q$21),"")</f>
        <v/>
      </c>
      <c r="AI38" s="42" t="str">
        <f>IF(AND('Mapa final'!$AA$22="Baja",'Mapa final'!$AC$22="Catastrófico"),CONCATENATE("R3C",'Mapa final'!$Q$22),"")</f>
        <v/>
      </c>
      <c r="AJ38" s="42" t="str">
        <f>IF(AND('Mapa final'!$AA$23="Baja",'Mapa final'!$AC$23="Catastrófico"),CONCATENATE("R3C",'Mapa final'!$Q$23),"")</f>
        <v/>
      </c>
      <c r="AK38" s="42" t="str">
        <f>IF(AND('Mapa final'!$AA$24="Baja",'Mapa final'!$AC$24="Catastrófico"),CONCATENATE("R3C",'Mapa final'!$Q$24),"")</f>
        <v/>
      </c>
      <c r="AL38" s="42" t="str">
        <f>IF(AND('Mapa final'!$AA$25="Baja",'Mapa final'!$AC$25="Catastrófico"),CONCATENATE("R3C",'Mapa final'!$Q$25),"")</f>
        <v/>
      </c>
      <c r="AM38" s="43" t="str">
        <f>IF(AND('Mapa final'!$AA$26="Baja",'Mapa final'!$AC$26="Catastrófico"),CONCATENATE("R3C",'Mapa final'!$Q$26),"")</f>
        <v/>
      </c>
      <c r="AN38" s="70"/>
      <c r="AO38" s="363"/>
      <c r="AP38" s="364"/>
      <c r="AQ38" s="364"/>
      <c r="AR38" s="364"/>
      <c r="AS38" s="364"/>
      <c r="AT38" s="365"/>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41"/>
      <c r="C39" s="241"/>
      <c r="D39" s="242"/>
      <c r="E39" s="342"/>
      <c r="F39" s="343"/>
      <c r="G39" s="343"/>
      <c r="H39" s="343"/>
      <c r="I39" s="341"/>
      <c r="J39" s="63" t="str">
        <f>IF(AND('Mapa final'!$AA$27="Baja",'Mapa final'!$AC$27="Leve"),CONCATENATE("R4C",'Mapa final'!$Q$27),"")</f>
        <v/>
      </c>
      <c r="K39" s="64" t="str">
        <f>IF(AND('Mapa final'!$AA$28="Baja",'Mapa final'!$AC$28="Leve"),CONCATENATE("R4C",'Mapa final'!$Q$28),"")</f>
        <v/>
      </c>
      <c r="L39" s="64" t="str">
        <f>IF(AND('Mapa final'!$AA$29="Baja",'Mapa final'!$AC$29="Leve"),CONCATENATE("R4C",'Mapa final'!$Q$29),"")</f>
        <v/>
      </c>
      <c r="M39" s="64" t="str">
        <f>IF(AND('Mapa final'!$AA$30="Baja",'Mapa final'!$AC$30="Leve"),CONCATENATE("R4C",'Mapa final'!$Q$30),"")</f>
        <v/>
      </c>
      <c r="N39" s="64" t="str">
        <f>IF(AND('Mapa final'!$AA$31="Baja",'Mapa final'!$AC$31="Leve"),CONCATENATE("R4C",'Mapa final'!$Q$31),"")</f>
        <v/>
      </c>
      <c r="O39" s="65" t="str">
        <f>IF(AND('Mapa final'!$AA$32="Baja",'Mapa final'!$AC$32="Leve"),CONCATENATE("R4C",'Mapa final'!$Q$32),"")</f>
        <v/>
      </c>
      <c r="P39" s="54" t="str">
        <f>IF(AND('Mapa final'!$AA$27="Baja",'Mapa final'!$AC$27="Menor"),CONCATENATE("R4C",'Mapa final'!$Q$27),"")</f>
        <v/>
      </c>
      <c r="Q39" s="55" t="str">
        <f>IF(AND('Mapa final'!$AA$28="Baja",'Mapa final'!$AC$28="Menor"),CONCATENATE("R4C",'Mapa final'!$Q$28),"")</f>
        <v/>
      </c>
      <c r="R39" s="55" t="str">
        <f>IF(AND('Mapa final'!$AA$29="Baja",'Mapa final'!$AC$29="Menor"),CONCATENATE("R4C",'Mapa final'!$Q$29),"")</f>
        <v/>
      </c>
      <c r="S39" s="55" t="str">
        <f>IF(AND('Mapa final'!$AA$30="Baja",'Mapa final'!$AC$30="Menor"),CONCATENATE("R4C",'Mapa final'!$Q$30),"")</f>
        <v/>
      </c>
      <c r="T39" s="55" t="str">
        <f>IF(AND('Mapa final'!$AA$31="Baja",'Mapa final'!$AC$31="Menor"),CONCATENATE("R4C",'Mapa final'!$Q$31),"")</f>
        <v/>
      </c>
      <c r="U39" s="56" t="str">
        <f>IF(AND('Mapa final'!$AA$32="Baja",'Mapa final'!$AC$32="Menor"),CONCATENATE("R4C",'Mapa final'!$Q$32),"")</f>
        <v/>
      </c>
      <c r="V39" s="54" t="str">
        <f>IF(AND('Mapa final'!$AA$27="Baja",'Mapa final'!$AC$27="Moderado"),CONCATENATE("R4C",'Mapa final'!$Q$27),"")</f>
        <v/>
      </c>
      <c r="W39" s="55" t="str">
        <f>IF(AND('Mapa final'!$AA$28="Baja",'Mapa final'!$AC$28="Moderado"),CONCATENATE("R4C",'Mapa final'!$Q$28),"")</f>
        <v>R4C2</v>
      </c>
      <c r="X39" s="55" t="str">
        <f>IF(AND('Mapa final'!$AA$29="Baja",'Mapa final'!$AC$29="Moderado"),CONCATENATE("R4C",'Mapa final'!$Q$29),"")</f>
        <v/>
      </c>
      <c r="Y39" s="55" t="str">
        <f>IF(AND('Mapa final'!$AA$30="Baja",'Mapa final'!$AC$30="Moderado"),CONCATENATE("R4C",'Mapa final'!$Q$30),"")</f>
        <v/>
      </c>
      <c r="Z39" s="55" t="str">
        <f>IF(AND('Mapa final'!$AA$31="Baja",'Mapa final'!$AC$31="Moderado"),CONCATENATE("R4C",'Mapa final'!$Q$31),"")</f>
        <v/>
      </c>
      <c r="AA39" s="56" t="str">
        <f>IF(AND('Mapa final'!$AA$32="Baja",'Mapa final'!$AC$32="Moderado"),CONCATENATE("R4C",'Mapa final'!$Q$32),"")</f>
        <v/>
      </c>
      <c r="AB39" s="38" t="str">
        <f>IF(AND('Mapa final'!$AA$27="Baja",'Mapa final'!$AC$27="Mayor"),CONCATENATE("R4C",'Mapa final'!$Q$27),"")</f>
        <v/>
      </c>
      <c r="AC39" s="39" t="str">
        <f>IF(AND('Mapa final'!$AA$28="Baja",'Mapa final'!$AC$28="Mayor"),CONCATENATE("R4C",'Mapa final'!$Q$28),"")</f>
        <v/>
      </c>
      <c r="AD39" s="39" t="str">
        <f>IF(AND('Mapa final'!$AA$29="Baja",'Mapa final'!$AC$29="Mayor"),CONCATENATE("R4C",'Mapa final'!$Q$29),"")</f>
        <v/>
      </c>
      <c r="AE39" s="39" t="str">
        <f>IF(AND('Mapa final'!$AA$30="Baja",'Mapa final'!$AC$30="Mayor"),CONCATENATE("R4C",'Mapa final'!$Q$30),"")</f>
        <v/>
      </c>
      <c r="AF39" s="39" t="str">
        <f>IF(AND('Mapa final'!$AA$31="Baja",'Mapa final'!$AC$31="Mayor"),CONCATENATE("R4C",'Mapa final'!$Q$31),"")</f>
        <v/>
      </c>
      <c r="AG39" s="40" t="str">
        <f>IF(AND('Mapa final'!$AA$32="Baja",'Mapa final'!$AC$32="Mayor"),CONCATENATE("R4C",'Mapa final'!$Q$32),"")</f>
        <v/>
      </c>
      <c r="AH39" s="41" t="str">
        <f>IF(AND('Mapa final'!$AA$27="Baja",'Mapa final'!$AC$27="Catastrófico"),CONCATENATE("R4C",'Mapa final'!$Q$27),"")</f>
        <v/>
      </c>
      <c r="AI39" s="42" t="str">
        <f>IF(AND('Mapa final'!$AA$28="Baja",'Mapa final'!$AC$28="Catastrófico"),CONCATENATE("R4C",'Mapa final'!$Q$28),"")</f>
        <v/>
      </c>
      <c r="AJ39" s="42" t="str">
        <f>IF(AND('Mapa final'!$AA$29="Baja",'Mapa final'!$AC$29="Catastrófico"),CONCATENATE("R4C",'Mapa final'!$Q$29),"")</f>
        <v/>
      </c>
      <c r="AK39" s="42" t="str">
        <f>IF(AND('Mapa final'!$AA$30="Baja",'Mapa final'!$AC$30="Catastrófico"),CONCATENATE("R4C",'Mapa final'!$Q$30),"")</f>
        <v/>
      </c>
      <c r="AL39" s="42" t="str">
        <f>IF(AND('Mapa final'!$AA$31="Baja",'Mapa final'!$AC$31="Catastrófico"),CONCATENATE("R4C",'Mapa final'!$Q$31),"")</f>
        <v/>
      </c>
      <c r="AM39" s="43" t="str">
        <f>IF(AND('Mapa final'!$AA$32="Baja",'Mapa final'!$AC$32="Catastrófico"),CONCATENATE("R4C",'Mapa final'!$Q$32),"")</f>
        <v/>
      </c>
      <c r="AN39" s="70"/>
      <c r="AO39" s="363"/>
      <c r="AP39" s="364"/>
      <c r="AQ39" s="364"/>
      <c r="AR39" s="364"/>
      <c r="AS39" s="364"/>
      <c r="AT39" s="365"/>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41"/>
      <c r="C40" s="241"/>
      <c r="D40" s="242"/>
      <c r="E40" s="342"/>
      <c r="F40" s="343"/>
      <c r="G40" s="343"/>
      <c r="H40" s="343"/>
      <c r="I40" s="341"/>
      <c r="J40" s="63" t="str">
        <f>IF(AND('Mapa final'!$AA$33="Baja",'Mapa final'!$AC$33="Leve"),CONCATENATE("R5C",'Mapa final'!$Q$33),"")</f>
        <v>R5C1</v>
      </c>
      <c r="K40" s="64" t="str">
        <f>IF(AND('Mapa final'!$AA$34="Baja",'Mapa final'!$AC$34="Leve"),CONCATENATE("R5C",'Mapa final'!$Q$34),"")</f>
        <v/>
      </c>
      <c r="L40" s="64" t="str">
        <f>IF(AND('Mapa final'!$AA$35="Baja",'Mapa final'!$AC$35="Leve"),CONCATENATE("R5C",'Mapa final'!$Q$35),"")</f>
        <v/>
      </c>
      <c r="M40" s="64" t="str">
        <f>IF(AND('Mapa final'!$AA$36="Baja",'Mapa final'!$AC$36="Leve"),CONCATENATE("R5C",'Mapa final'!$Q$36),"")</f>
        <v/>
      </c>
      <c r="N40" s="64" t="str">
        <f>IF(AND('Mapa final'!$AA$37="Baja",'Mapa final'!$AC$37="Leve"),CONCATENATE("R5C",'Mapa final'!$Q$37),"")</f>
        <v/>
      </c>
      <c r="O40" s="65" t="str">
        <f>IF(AND('Mapa final'!$AA$38="Baja",'Mapa final'!$AC$38="Leve"),CONCATENATE("R5C",'Mapa final'!$Q$38),"")</f>
        <v/>
      </c>
      <c r="P40" s="54" t="str">
        <f>IF(AND('Mapa final'!$AA$33="Baja",'Mapa final'!$AC$33="Menor"),CONCATENATE("R5C",'Mapa final'!$Q$33),"")</f>
        <v/>
      </c>
      <c r="Q40" s="55" t="str">
        <f>IF(AND('Mapa final'!$AA$34="Baja",'Mapa final'!$AC$34="Menor"),CONCATENATE("R5C",'Mapa final'!$Q$34),"")</f>
        <v/>
      </c>
      <c r="R40" s="55" t="str">
        <f>IF(AND('Mapa final'!$AA$35="Baja",'Mapa final'!$AC$35="Menor"),CONCATENATE("R5C",'Mapa final'!$Q$35),"")</f>
        <v/>
      </c>
      <c r="S40" s="55" t="str">
        <f>IF(AND('Mapa final'!$AA$36="Baja",'Mapa final'!$AC$36="Menor"),CONCATENATE("R5C",'Mapa final'!$Q$36),"")</f>
        <v/>
      </c>
      <c r="T40" s="55" t="str">
        <f>IF(AND('Mapa final'!$AA$37="Baja",'Mapa final'!$AC$37="Menor"),CONCATENATE("R5C",'Mapa final'!$Q$37),"")</f>
        <v/>
      </c>
      <c r="U40" s="56" t="str">
        <f>IF(AND('Mapa final'!$AA$38="Baja",'Mapa final'!$AC$38="Menor"),CONCATENATE("R5C",'Mapa final'!$Q$38),"")</f>
        <v/>
      </c>
      <c r="V40" s="54" t="str">
        <f>IF(AND('Mapa final'!$AA$33="Baja",'Mapa final'!$AC$33="Moderado"),CONCATENATE("R5C",'Mapa final'!$Q$33),"")</f>
        <v/>
      </c>
      <c r="W40" s="55" t="str">
        <f>IF(AND('Mapa final'!$AA$34="Baja",'Mapa final'!$AC$34="Moderado"),CONCATENATE("R5C",'Mapa final'!$Q$34),"")</f>
        <v/>
      </c>
      <c r="X40" s="55" t="str">
        <f>IF(AND('Mapa final'!$AA$35="Baja",'Mapa final'!$AC$35="Moderado"),CONCATENATE("R5C",'Mapa final'!$Q$35),"")</f>
        <v/>
      </c>
      <c r="Y40" s="55" t="str">
        <f>IF(AND('Mapa final'!$AA$36="Baja",'Mapa final'!$AC$36="Moderado"),CONCATENATE("R5C",'Mapa final'!$Q$36),"")</f>
        <v/>
      </c>
      <c r="Z40" s="55" t="str">
        <f>IF(AND('Mapa final'!$AA$37="Baja",'Mapa final'!$AC$37="Moderado"),CONCATENATE("R5C",'Mapa final'!$Q$37),"")</f>
        <v/>
      </c>
      <c r="AA40" s="56" t="str">
        <f>IF(AND('Mapa final'!$AA$38="Baja",'Mapa final'!$AC$38="Moderado"),CONCATENATE("R5C",'Mapa final'!$Q$38),"")</f>
        <v/>
      </c>
      <c r="AB40" s="38" t="str">
        <f>IF(AND('Mapa final'!$AA$33="Baja",'Mapa final'!$AC$33="Mayor"),CONCATENATE("R5C",'Mapa final'!$Q$33),"")</f>
        <v/>
      </c>
      <c r="AC40" s="39" t="str">
        <f>IF(AND('Mapa final'!$AA$34="Baja",'Mapa final'!$AC$34="Mayor"),CONCATENATE("R5C",'Mapa final'!$Q$34),"")</f>
        <v>R5C2</v>
      </c>
      <c r="AD40" s="44" t="str">
        <f>IF(AND('Mapa final'!$AA$35="Baja",'Mapa final'!$AC$35="Mayor"),CONCATENATE("R5C",'Mapa final'!$Q$35),"")</f>
        <v/>
      </c>
      <c r="AE40" s="44" t="str">
        <f>IF(AND('Mapa final'!$AA$36="Baja",'Mapa final'!$AC$36="Mayor"),CONCATENATE("R5C",'Mapa final'!$Q$36),"")</f>
        <v/>
      </c>
      <c r="AF40" s="44" t="str">
        <f>IF(AND('Mapa final'!$AA$37="Baja",'Mapa final'!$AC$37="Mayor"),CONCATENATE("R5C",'Mapa final'!$Q$37),"")</f>
        <v/>
      </c>
      <c r="AG40" s="40" t="str">
        <f>IF(AND('Mapa final'!$AA$38="Baja",'Mapa final'!$AC$38="Mayor"),CONCATENATE("R5C",'Mapa final'!$Q$38),"")</f>
        <v/>
      </c>
      <c r="AH40" s="41" t="str">
        <f>IF(AND('Mapa final'!$AA$33="Baja",'Mapa final'!$AC$33="Catastrófico"),CONCATENATE("R5C",'Mapa final'!$Q$33),"")</f>
        <v/>
      </c>
      <c r="AI40" s="42" t="str">
        <f>IF(AND('Mapa final'!$AA$34="Baja",'Mapa final'!$AC$34="Catastrófico"),CONCATENATE("R5C",'Mapa final'!$Q$34),"")</f>
        <v/>
      </c>
      <c r="AJ40" s="42" t="str">
        <f>IF(AND('Mapa final'!$AA$35="Baja",'Mapa final'!$AC$35="Catastrófico"),CONCATENATE("R5C",'Mapa final'!$Q$35),"")</f>
        <v/>
      </c>
      <c r="AK40" s="42" t="str">
        <f>IF(AND('Mapa final'!$AA$36="Baja",'Mapa final'!$AC$36="Catastrófico"),CONCATENATE("R5C",'Mapa final'!$Q$36),"")</f>
        <v/>
      </c>
      <c r="AL40" s="42" t="str">
        <f>IF(AND('Mapa final'!$AA$37="Baja",'Mapa final'!$AC$37="Catastrófico"),CONCATENATE("R5C",'Mapa final'!$Q$37),"")</f>
        <v/>
      </c>
      <c r="AM40" s="43" t="str">
        <f>IF(AND('Mapa final'!$AA$38="Baja",'Mapa final'!$AC$38="Catastrófico"),CONCATENATE("R5C",'Mapa final'!$Q$38),"")</f>
        <v/>
      </c>
      <c r="AN40" s="70"/>
      <c r="AO40" s="363"/>
      <c r="AP40" s="364"/>
      <c r="AQ40" s="364"/>
      <c r="AR40" s="364"/>
      <c r="AS40" s="364"/>
      <c r="AT40" s="365"/>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41"/>
      <c r="C41" s="241"/>
      <c r="D41" s="242"/>
      <c r="E41" s="342"/>
      <c r="F41" s="343"/>
      <c r="G41" s="343"/>
      <c r="H41" s="343"/>
      <c r="I41" s="341"/>
      <c r="J41" s="63" t="str">
        <f>IF(AND('Mapa final'!$AA$39="Baja",'Mapa final'!$AC$39="Leve"),CONCATENATE("R6C",'Mapa final'!$Q$39),"")</f>
        <v/>
      </c>
      <c r="K41" s="64" t="str">
        <f>IF(AND('Mapa final'!$AA$40="Baja",'Mapa final'!$AC$40="Leve"),CONCATENATE("R6C",'Mapa final'!$Q$40),"")</f>
        <v/>
      </c>
      <c r="L41" s="64" t="str">
        <f>IF(AND('Mapa final'!$AA$41="Baja",'Mapa final'!$AC$41="Leve"),CONCATENATE("R6C",'Mapa final'!$Q$41),"")</f>
        <v/>
      </c>
      <c r="M41" s="64" t="str">
        <f>IF(AND('Mapa final'!$AA$42="Baja",'Mapa final'!$AC$42="Leve"),CONCATENATE("R6C",'Mapa final'!$Q$42),"")</f>
        <v/>
      </c>
      <c r="N41" s="64" t="str">
        <f>IF(AND('Mapa final'!$AA$43="Baja",'Mapa final'!$AC$43="Leve"),CONCATENATE("R6C",'Mapa final'!$Q$43),"")</f>
        <v/>
      </c>
      <c r="O41" s="65" t="str">
        <f>IF(AND('Mapa final'!$AA$44="Baja",'Mapa final'!$AC$44="Leve"),CONCATENATE("R6C",'Mapa final'!$Q$44),"")</f>
        <v/>
      </c>
      <c r="P41" s="54" t="str">
        <f>IF(AND('Mapa final'!$AA$39="Baja",'Mapa final'!$AC$39="Menor"),CONCATENATE("R6C",'Mapa final'!$Q$39),"")</f>
        <v/>
      </c>
      <c r="Q41" s="55" t="str">
        <f>IF(AND('Mapa final'!$AA$40="Baja",'Mapa final'!$AC$40="Menor"),CONCATENATE("R6C",'Mapa final'!$Q$40),"")</f>
        <v/>
      </c>
      <c r="R41" s="55" t="str">
        <f>IF(AND('Mapa final'!$AA$41="Baja",'Mapa final'!$AC$41="Menor"),CONCATENATE("R6C",'Mapa final'!$Q$41),"")</f>
        <v/>
      </c>
      <c r="S41" s="55" t="str">
        <f>IF(AND('Mapa final'!$AA$42="Baja",'Mapa final'!$AC$42="Menor"),CONCATENATE("R6C",'Mapa final'!$Q$42),"")</f>
        <v/>
      </c>
      <c r="T41" s="55" t="str">
        <f>IF(AND('Mapa final'!$AA$43="Baja",'Mapa final'!$AC$43="Menor"),CONCATENATE("R6C",'Mapa final'!$Q$43),"")</f>
        <v/>
      </c>
      <c r="U41" s="56" t="str">
        <f>IF(AND('Mapa final'!$AA$44="Baja",'Mapa final'!$AC$44="Menor"),CONCATENATE("R6C",'Mapa final'!$Q$44),"")</f>
        <v/>
      </c>
      <c r="V41" s="54" t="str">
        <f>IF(AND('Mapa final'!$AA$39="Baja",'Mapa final'!$AC$39="Moderado"),CONCATENATE("R6C",'Mapa final'!$Q$39),"")</f>
        <v/>
      </c>
      <c r="W41" s="55" t="str">
        <f>IF(AND('Mapa final'!$AA$40="Baja",'Mapa final'!$AC$40="Moderado"),CONCATENATE("R6C",'Mapa final'!$Q$40),"")</f>
        <v/>
      </c>
      <c r="X41" s="55" t="str">
        <f>IF(AND('Mapa final'!$AA$41="Baja",'Mapa final'!$AC$41="Moderado"),CONCATENATE("R6C",'Mapa final'!$Q$41),"")</f>
        <v/>
      </c>
      <c r="Y41" s="55" t="str">
        <f>IF(AND('Mapa final'!$AA$42="Baja",'Mapa final'!$AC$42="Moderado"),CONCATENATE("R6C",'Mapa final'!$Q$42),"")</f>
        <v/>
      </c>
      <c r="Z41" s="55" t="str">
        <f>IF(AND('Mapa final'!$AA$43="Baja",'Mapa final'!$AC$43="Moderado"),CONCATENATE("R6C",'Mapa final'!$Q$43),"")</f>
        <v/>
      </c>
      <c r="AA41" s="56" t="str">
        <f>IF(AND('Mapa final'!$AA$44="Baja",'Mapa final'!$AC$44="Moderado"),CONCATENATE("R6C",'Mapa final'!$Q$44),"")</f>
        <v/>
      </c>
      <c r="AB41" s="38" t="str">
        <f>IF(AND('Mapa final'!$AA$39="Baja",'Mapa final'!$AC$39="Mayor"),CONCATENATE("R6C",'Mapa final'!$Q$39),"")</f>
        <v/>
      </c>
      <c r="AC41" s="39" t="str">
        <f>IF(AND('Mapa final'!$AA$40="Baja",'Mapa final'!$AC$40="Mayor"),CONCATENATE("R6C",'Mapa final'!$Q$40),"")</f>
        <v/>
      </c>
      <c r="AD41" s="44" t="str">
        <f>IF(AND('Mapa final'!$AA$41="Baja",'Mapa final'!$AC$41="Mayor"),CONCATENATE("R6C",'Mapa final'!$Q$41),"")</f>
        <v/>
      </c>
      <c r="AE41" s="44" t="str">
        <f>IF(AND('Mapa final'!$AA$42="Baja",'Mapa final'!$AC$42="Mayor"),CONCATENATE("R6C",'Mapa final'!$Q$42),"")</f>
        <v/>
      </c>
      <c r="AF41" s="44" t="str">
        <f>IF(AND('Mapa final'!$AA$43="Baja",'Mapa final'!$AC$43="Mayor"),CONCATENATE("R6C",'Mapa final'!$Q$43),"")</f>
        <v/>
      </c>
      <c r="AG41" s="40" t="str">
        <f>IF(AND('Mapa final'!$AA$44="Baja",'Mapa final'!$AC$44="Mayor"),CONCATENATE("R6C",'Mapa final'!$Q$44),"")</f>
        <v/>
      </c>
      <c r="AH41" s="41" t="str">
        <f>IF(AND('Mapa final'!$AA$39="Baja",'Mapa final'!$AC$39="Catastrófico"),CONCATENATE("R6C",'Mapa final'!$Q$39),"")</f>
        <v/>
      </c>
      <c r="AI41" s="42" t="str">
        <f>IF(AND('Mapa final'!$AA$40="Baja",'Mapa final'!$AC$40="Catastrófico"),CONCATENATE("R6C",'Mapa final'!$Q$40),"")</f>
        <v/>
      </c>
      <c r="AJ41" s="42" t="str">
        <f>IF(AND('Mapa final'!$AA$41="Baja",'Mapa final'!$AC$41="Catastrófico"),CONCATENATE("R6C",'Mapa final'!$Q$41),"")</f>
        <v/>
      </c>
      <c r="AK41" s="42" t="str">
        <f>IF(AND('Mapa final'!$AA$42="Baja",'Mapa final'!$AC$42="Catastrófico"),CONCATENATE("R6C",'Mapa final'!$Q$42),"")</f>
        <v/>
      </c>
      <c r="AL41" s="42" t="str">
        <f>IF(AND('Mapa final'!$AA$43="Baja",'Mapa final'!$AC$43="Catastrófico"),CONCATENATE("R6C",'Mapa final'!$Q$43),"")</f>
        <v/>
      </c>
      <c r="AM41" s="43" t="str">
        <f>IF(AND('Mapa final'!$AA$44="Baja",'Mapa final'!$AC$44="Catastrófico"),CONCATENATE("R6C",'Mapa final'!$Q$44),"")</f>
        <v/>
      </c>
      <c r="AN41" s="70"/>
      <c r="AO41" s="363"/>
      <c r="AP41" s="364"/>
      <c r="AQ41" s="364"/>
      <c r="AR41" s="364"/>
      <c r="AS41" s="364"/>
      <c r="AT41" s="365"/>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41"/>
      <c r="C42" s="241"/>
      <c r="D42" s="242"/>
      <c r="E42" s="342"/>
      <c r="F42" s="343"/>
      <c r="G42" s="343"/>
      <c r="H42" s="343"/>
      <c r="I42" s="341"/>
      <c r="J42" s="63" t="str">
        <f>IF(AND('Mapa final'!$AA$45="Baja",'Mapa final'!$AC$45="Leve"),CONCATENATE("R7C",'Mapa final'!$Q$45),"")</f>
        <v/>
      </c>
      <c r="K42" s="64" t="str">
        <f>IF(AND('Mapa final'!$AA$46="Baja",'Mapa final'!$AC$46="Leve"),CONCATENATE("R7C",'Mapa final'!$Q$46),"")</f>
        <v/>
      </c>
      <c r="L42" s="64" t="str">
        <f>IF(AND('Mapa final'!$AA$47="Baja",'Mapa final'!$AC$47="Leve"),CONCATENATE("R7C",'Mapa final'!$Q$47),"")</f>
        <v/>
      </c>
      <c r="M42" s="64" t="str">
        <f>IF(AND('Mapa final'!$AA$48="Baja",'Mapa final'!$AC$48="Leve"),CONCATENATE("R7C",'Mapa final'!$Q$48),"")</f>
        <v/>
      </c>
      <c r="N42" s="64" t="str">
        <f>IF(AND('Mapa final'!$AA$49="Baja",'Mapa final'!$AC$49="Leve"),CONCATENATE("R7C",'Mapa final'!$Q$49),"")</f>
        <v/>
      </c>
      <c r="O42" s="65" t="str">
        <f>IF(AND('Mapa final'!$AA$50="Baja",'Mapa final'!$AC$50="Leve"),CONCATENATE("R7C",'Mapa final'!$Q$50),"")</f>
        <v/>
      </c>
      <c r="P42" s="54" t="str">
        <f>IF(AND('Mapa final'!$AA$45="Baja",'Mapa final'!$AC$45="Menor"),CONCATENATE("R7C",'Mapa final'!$Q$45),"")</f>
        <v/>
      </c>
      <c r="Q42" s="55" t="str">
        <f>IF(AND('Mapa final'!$AA$46="Baja",'Mapa final'!$AC$46="Menor"),CONCATENATE("R7C",'Mapa final'!$Q$46),"")</f>
        <v/>
      </c>
      <c r="R42" s="55" t="str">
        <f>IF(AND('Mapa final'!$AA$47="Baja",'Mapa final'!$AC$47="Menor"),CONCATENATE("R7C",'Mapa final'!$Q$47),"")</f>
        <v/>
      </c>
      <c r="S42" s="55" t="str">
        <f>IF(AND('Mapa final'!$AA$48="Baja",'Mapa final'!$AC$48="Menor"),CONCATENATE("R7C",'Mapa final'!$Q$48),"")</f>
        <v/>
      </c>
      <c r="T42" s="55" t="str">
        <f>IF(AND('Mapa final'!$AA$49="Baja",'Mapa final'!$AC$49="Menor"),CONCATENATE("R7C",'Mapa final'!$Q$49),"")</f>
        <v/>
      </c>
      <c r="U42" s="56" t="str">
        <f>IF(AND('Mapa final'!$AA$50="Baja",'Mapa final'!$AC$50="Menor"),CONCATENATE("R7C",'Mapa final'!$Q$50),"")</f>
        <v/>
      </c>
      <c r="V42" s="54" t="str">
        <f>IF(AND('Mapa final'!$AA$45="Baja",'Mapa final'!$AC$45="Moderado"),CONCATENATE("R7C",'Mapa final'!$Q$45),"")</f>
        <v/>
      </c>
      <c r="W42" s="55" t="str">
        <f>IF(AND('Mapa final'!$AA$46="Baja",'Mapa final'!$AC$46="Moderado"),CONCATENATE("R7C",'Mapa final'!$Q$46),"")</f>
        <v/>
      </c>
      <c r="X42" s="55" t="str">
        <f>IF(AND('Mapa final'!$AA$47="Baja",'Mapa final'!$AC$47="Moderado"),CONCATENATE("R7C",'Mapa final'!$Q$47),"")</f>
        <v/>
      </c>
      <c r="Y42" s="55" t="str">
        <f>IF(AND('Mapa final'!$AA$48="Baja",'Mapa final'!$AC$48="Moderado"),CONCATENATE("R7C",'Mapa final'!$Q$48),"")</f>
        <v/>
      </c>
      <c r="Z42" s="55" t="str">
        <f>IF(AND('Mapa final'!$AA$49="Baja",'Mapa final'!$AC$49="Moderado"),CONCATENATE("R7C",'Mapa final'!$Q$49),"")</f>
        <v/>
      </c>
      <c r="AA42" s="56" t="str">
        <f>IF(AND('Mapa final'!$AA$50="Baja",'Mapa final'!$AC$50="Moderado"),CONCATENATE("R7C",'Mapa final'!$Q$50),"")</f>
        <v/>
      </c>
      <c r="AB42" s="38" t="str">
        <f>IF(AND('Mapa final'!$AA$45="Baja",'Mapa final'!$AC$45="Mayor"),CONCATENATE("R7C",'Mapa final'!$Q$45),"")</f>
        <v/>
      </c>
      <c r="AC42" s="39" t="str">
        <f>IF(AND('Mapa final'!$AA$46="Baja",'Mapa final'!$AC$46="Mayor"),CONCATENATE("R7C",'Mapa final'!$Q$46),"")</f>
        <v/>
      </c>
      <c r="AD42" s="44" t="str">
        <f>IF(AND('Mapa final'!$AA$47="Baja",'Mapa final'!$AC$47="Mayor"),CONCATENATE("R7C",'Mapa final'!$Q$47),"")</f>
        <v/>
      </c>
      <c r="AE42" s="44" t="str">
        <f>IF(AND('Mapa final'!$AA$48="Baja",'Mapa final'!$AC$48="Mayor"),CONCATENATE("R7C",'Mapa final'!$Q$48),"")</f>
        <v/>
      </c>
      <c r="AF42" s="44" t="str">
        <f>IF(AND('Mapa final'!$AA$49="Baja",'Mapa final'!$AC$49="Mayor"),CONCATENATE("R7C",'Mapa final'!$Q$49),"")</f>
        <v/>
      </c>
      <c r="AG42" s="40" t="str">
        <f>IF(AND('Mapa final'!$AA$50="Baja",'Mapa final'!$AC$50="Mayor"),CONCATENATE("R7C",'Mapa final'!$Q$50),"")</f>
        <v/>
      </c>
      <c r="AH42" s="41" t="str">
        <f>IF(AND('Mapa final'!$AA$45="Baja",'Mapa final'!$AC$45="Catastrófico"),CONCATENATE("R7C",'Mapa final'!$Q$45),"")</f>
        <v/>
      </c>
      <c r="AI42" s="42" t="str">
        <f>IF(AND('Mapa final'!$AA$46="Baja",'Mapa final'!$AC$46="Catastrófico"),CONCATENATE("R7C",'Mapa final'!$Q$46),"")</f>
        <v/>
      </c>
      <c r="AJ42" s="42" t="str">
        <f>IF(AND('Mapa final'!$AA$47="Baja",'Mapa final'!$AC$47="Catastrófico"),CONCATENATE("R7C",'Mapa final'!$Q$47),"")</f>
        <v/>
      </c>
      <c r="AK42" s="42" t="str">
        <f>IF(AND('Mapa final'!$AA$48="Baja",'Mapa final'!$AC$48="Catastrófico"),CONCATENATE("R7C",'Mapa final'!$Q$48),"")</f>
        <v/>
      </c>
      <c r="AL42" s="42" t="str">
        <f>IF(AND('Mapa final'!$AA$49="Baja",'Mapa final'!$AC$49="Catastrófico"),CONCATENATE("R7C",'Mapa final'!$Q$49),"")</f>
        <v/>
      </c>
      <c r="AM42" s="43" t="str">
        <f>IF(AND('Mapa final'!$AA$50="Baja",'Mapa final'!$AC$50="Catastrófico"),CONCATENATE("R7C",'Mapa final'!$Q$50),"")</f>
        <v/>
      </c>
      <c r="AN42" s="70"/>
      <c r="AO42" s="363"/>
      <c r="AP42" s="364"/>
      <c r="AQ42" s="364"/>
      <c r="AR42" s="364"/>
      <c r="AS42" s="364"/>
      <c r="AT42" s="365"/>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41"/>
      <c r="C43" s="241"/>
      <c r="D43" s="242"/>
      <c r="E43" s="342"/>
      <c r="F43" s="343"/>
      <c r="G43" s="343"/>
      <c r="H43" s="343"/>
      <c r="I43" s="341"/>
      <c r="J43" s="63" t="str">
        <f>IF(AND('Mapa final'!$AA$51="Baja",'Mapa final'!$AC$51="Leve"),CONCATENATE("R8C",'Mapa final'!$Q$51),"")</f>
        <v/>
      </c>
      <c r="K43" s="64" t="str">
        <f>IF(AND('Mapa final'!$AA$52="Baja",'Mapa final'!$AC$52="Leve"),CONCATENATE("R8C",'Mapa final'!$Q$52),"")</f>
        <v/>
      </c>
      <c r="L43" s="64" t="str">
        <f>IF(AND('Mapa final'!$AA$53="Baja",'Mapa final'!$AC$53="Leve"),CONCATENATE("R8C",'Mapa final'!$Q$53),"")</f>
        <v/>
      </c>
      <c r="M43" s="64" t="str">
        <f>IF(AND('Mapa final'!$AA$54="Baja",'Mapa final'!$AC$54="Leve"),CONCATENATE("R8C",'Mapa final'!$Q$54),"")</f>
        <v/>
      </c>
      <c r="N43" s="64" t="str">
        <f>IF(AND('Mapa final'!$AA$55="Baja",'Mapa final'!$AC$55="Leve"),CONCATENATE("R8C",'Mapa final'!$Q$55),"")</f>
        <v/>
      </c>
      <c r="O43" s="65" t="str">
        <f>IF(AND('Mapa final'!$AA$56="Baja",'Mapa final'!$AC$56="Leve"),CONCATENATE("R8C",'Mapa final'!$Q$56),"")</f>
        <v/>
      </c>
      <c r="P43" s="54" t="str">
        <f>IF(AND('Mapa final'!$AA$51="Baja",'Mapa final'!$AC$51="Menor"),CONCATENATE("R8C",'Mapa final'!$Q$51),"")</f>
        <v/>
      </c>
      <c r="Q43" s="55" t="str">
        <f>IF(AND('Mapa final'!$AA$52="Baja",'Mapa final'!$AC$52="Menor"),CONCATENATE("R8C",'Mapa final'!$Q$52),"")</f>
        <v/>
      </c>
      <c r="R43" s="55" t="str">
        <f>IF(AND('Mapa final'!$AA$53="Baja",'Mapa final'!$AC$53="Menor"),CONCATENATE("R8C",'Mapa final'!$Q$53),"")</f>
        <v/>
      </c>
      <c r="S43" s="55" t="str">
        <f>IF(AND('Mapa final'!$AA$54="Baja",'Mapa final'!$AC$54="Menor"),CONCATENATE("R8C",'Mapa final'!$Q$54),"")</f>
        <v/>
      </c>
      <c r="T43" s="55" t="str">
        <f>IF(AND('Mapa final'!$AA$55="Baja",'Mapa final'!$AC$55="Menor"),CONCATENATE("R8C",'Mapa final'!$Q$55),"")</f>
        <v/>
      </c>
      <c r="U43" s="56" t="str">
        <f>IF(AND('Mapa final'!$AA$56="Baja",'Mapa final'!$AC$56="Menor"),CONCATENATE("R8C",'Mapa final'!$Q$56),"")</f>
        <v/>
      </c>
      <c r="V43" s="54" t="str">
        <f>IF(AND('Mapa final'!$AA$51="Baja",'Mapa final'!$AC$51="Moderado"),CONCATENATE("R8C",'Mapa final'!$Q$51),"")</f>
        <v/>
      </c>
      <c r="W43" s="55" t="str">
        <f>IF(AND('Mapa final'!$AA$52="Baja",'Mapa final'!$AC$52="Moderado"),CONCATENATE("R8C",'Mapa final'!$Q$52),"")</f>
        <v/>
      </c>
      <c r="X43" s="55" t="str">
        <f>IF(AND('Mapa final'!$AA$53="Baja",'Mapa final'!$AC$53="Moderado"),CONCATENATE("R8C",'Mapa final'!$Q$53),"")</f>
        <v/>
      </c>
      <c r="Y43" s="55" t="str">
        <f>IF(AND('Mapa final'!$AA$54="Baja",'Mapa final'!$AC$54="Moderado"),CONCATENATE("R8C",'Mapa final'!$Q$54),"")</f>
        <v/>
      </c>
      <c r="Z43" s="55" t="str">
        <f>IF(AND('Mapa final'!$AA$55="Baja",'Mapa final'!$AC$55="Moderado"),CONCATENATE("R8C",'Mapa final'!$Q$55),"")</f>
        <v/>
      </c>
      <c r="AA43" s="56" t="str">
        <f>IF(AND('Mapa final'!$AA$56="Baja",'Mapa final'!$AC$56="Moderado"),CONCATENATE("R8C",'Mapa final'!$Q$56),"")</f>
        <v/>
      </c>
      <c r="AB43" s="38" t="str">
        <f>IF(AND('Mapa final'!$AA$51="Baja",'Mapa final'!$AC$51="Mayor"),CONCATENATE("R8C",'Mapa final'!$Q$51),"")</f>
        <v/>
      </c>
      <c r="AC43" s="39" t="str">
        <f>IF(AND('Mapa final'!$AA$52="Baja",'Mapa final'!$AC$52="Mayor"),CONCATENATE("R8C",'Mapa final'!$Q$52),"")</f>
        <v/>
      </c>
      <c r="AD43" s="44" t="str">
        <f>IF(AND('Mapa final'!$AA$53="Baja",'Mapa final'!$AC$53="Mayor"),CONCATENATE("R8C",'Mapa final'!$Q$53),"")</f>
        <v/>
      </c>
      <c r="AE43" s="44" t="str">
        <f>IF(AND('Mapa final'!$AA$54="Baja",'Mapa final'!$AC$54="Mayor"),CONCATENATE("R8C",'Mapa final'!$Q$54),"")</f>
        <v/>
      </c>
      <c r="AF43" s="44" t="str">
        <f>IF(AND('Mapa final'!$AA$55="Baja",'Mapa final'!$AC$55="Mayor"),CONCATENATE("R8C",'Mapa final'!$Q$55),"")</f>
        <v/>
      </c>
      <c r="AG43" s="40" t="str">
        <f>IF(AND('Mapa final'!$AA$56="Baja",'Mapa final'!$AC$56="Mayor"),CONCATENATE("R8C",'Mapa final'!$Q$56),"")</f>
        <v/>
      </c>
      <c r="AH43" s="41" t="str">
        <f>IF(AND('Mapa final'!$AA$51="Baja",'Mapa final'!$AC$51="Catastrófico"),CONCATENATE("R8C",'Mapa final'!$Q$51),"")</f>
        <v/>
      </c>
      <c r="AI43" s="42" t="str">
        <f>IF(AND('Mapa final'!$AA$52="Baja",'Mapa final'!$AC$52="Catastrófico"),CONCATENATE("R8C",'Mapa final'!$Q$52),"")</f>
        <v/>
      </c>
      <c r="AJ43" s="42" t="str">
        <f>IF(AND('Mapa final'!$AA$53="Baja",'Mapa final'!$AC$53="Catastrófico"),CONCATENATE("R8C",'Mapa final'!$Q$53),"")</f>
        <v/>
      </c>
      <c r="AK43" s="42" t="str">
        <f>IF(AND('Mapa final'!$AA$54="Baja",'Mapa final'!$AC$54="Catastrófico"),CONCATENATE("R8C",'Mapa final'!$Q$54),"")</f>
        <v/>
      </c>
      <c r="AL43" s="42" t="str">
        <f>IF(AND('Mapa final'!$AA$55="Baja",'Mapa final'!$AC$55="Catastrófico"),CONCATENATE("R8C",'Mapa final'!$Q$55),"")</f>
        <v/>
      </c>
      <c r="AM43" s="43" t="str">
        <f>IF(AND('Mapa final'!$AA$56="Baja",'Mapa final'!$AC$56="Catastrófico"),CONCATENATE("R8C",'Mapa final'!$Q$56),"")</f>
        <v/>
      </c>
      <c r="AN43" s="70"/>
      <c r="AO43" s="363"/>
      <c r="AP43" s="364"/>
      <c r="AQ43" s="364"/>
      <c r="AR43" s="364"/>
      <c r="AS43" s="364"/>
      <c r="AT43" s="365"/>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41"/>
      <c r="C44" s="241"/>
      <c r="D44" s="242"/>
      <c r="E44" s="342"/>
      <c r="F44" s="343"/>
      <c r="G44" s="343"/>
      <c r="H44" s="343"/>
      <c r="I44" s="341"/>
      <c r="J44" s="63" t="str">
        <f>IF(AND('Mapa final'!$AA$57="Baja",'Mapa final'!$AC$57="Leve"),CONCATENATE("R9C",'Mapa final'!$Q$57),"")</f>
        <v/>
      </c>
      <c r="K44" s="64" t="str">
        <f>IF(AND('Mapa final'!$AA$58="Baja",'Mapa final'!$AC$58="Leve"),CONCATENATE("R9C",'Mapa final'!$Q$58),"")</f>
        <v/>
      </c>
      <c r="L44" s="64" t="str">
        <f>IF(AND('Mapa final'!$AA$59="Baja",'Mapa final'!$AC$59="Leve"),CONCATENATE("R9C",'Mapa final'!$Q$59),"")</f>
        <v/>
      </c>
      <c r="M44" s="64" t="str">
        <f>IF(AND('Mapa final'!$AA$60="Baja",'Mapa final'!$AC$60="Leve"),CONCATENATE("R9C",'Mapa final'!$Q$60),"")</f>
        <v/>
      </c>
      <c r="N44" s="64" t="str">
        <f>IF(AND('Mapa final'!$AA$61="Baja",'Mapa final'!$AC$61="Leve"),CONCATENATE("R9C",'Mapa final'!$Q$61),"")</f>
        <v/>
      </c>
      <c r="O44" s="65" t="str">
        <f>IF(AND('Mapa final'!$AA$62="Baja",'Mapa final'!$AC$62="Leve"),CONCATENATE("R9C",'Mapa final'!$Q$62),"")</f>
        <v/>
      </c>
      <c r="P44" s="54" t="str">
        <f>IF(AND('Mapa final'!$AA$57="Baja",'Mapa final'!$AC$57="Menor"),CONCATENATE("R9C",'Mapa final'!$Q$57),"")</f>
        <v/>
      </c>
      <c r="Q44" s="55" t="str">
        <f>IF(AND('Mapa final'!$AA$58="Baja",'Mapa final'!$AC$58="Menor"),CONCATENATE("R9C",'Mapa final'!$Q$58),"")</f>
        <v/>
      </c>
      <c r="R44" s="55" t="str">
        <f>IF(AND('Mapa final'!$AA$59="Baja",'Mapa final'!$AC$59="Menor"),CONCATENATE("R9C",'Mapa final'!$Q$59),"")</f>
        <v/>
      </c>
      <c r="S44" s="55" t="str">
        <f>IF(AND('Mapa final'!$AA$60="Baja",'Mapa final'!$AC$60="Menor"),CONCATENATE("R9C",'Mapa final'!$Q$60),"")</f>
        <v/>
      </c>
      <c r="T44" s="55" t="str">
        <f>IF(AND('Mapa final'!$AA$61="Baja",'Mapa final'!$AC$61="Menor"),CONCATENATE("R9C",'Mapa final'!$Q$61),"")</f>
        <v/>
      </c>
      <c r="U44" s="56" t="str">
        <f>IF(AND('Mapa final'!$AA$62="Baja",'Mapa final'!$AC$62="Menor"),CONCATENATE("R9C",'Mapa final'!$Q$62),"")</f>
        <v/>
      </c>
      <c r="V44" s="54" t="str">
        <f>IF(AND('Mapa final'!$AA$57="Baja",'Mapa final'!$AC$57="Moderado"),CONCATENATE("R9C",'Mapa final'!$Q$57),"")</f>
        <v/>
      </c>
      <c r="W44" s="55" t="str">
        <f>IF(AND('Mapa final'!$AA$58="Baja",'Mapa final'!$AC$58="Moderado"),CONCATENATE("R9C",'Mapa final'!$Q$58),"")</f>
        <v/>
      </c>
      <c r="X44" s="55" t="str">
        <f>IF(AND('Mapa final'!$AA$59="Baja",'Mapa final'!$AC$59="Moderado"),CONCATENATE("R9C",'Mapa final'!$Q$59),"")</f>
        <v/>
      </c>
      <c r="Y44" s="55" t="str">
        <f>IF(AND('Mapa final'!$AA$60="Baja",'Mapa final'!$AC$60="Moderado"),CONCATENATE("R9C",'Mapa final'!$Q$60),"")</f>
        <v/>
      </c>
      <c r="Z44" s="55" t="str">
        <f>IF(AND('Mapa final'!$AA$61="Baja",'Mapa final'!$AC$61="Moderado"),CONCATENATE("R9C",'Mapa final'!$Q$61),"")</f>
        <v/>
      </c>
      <c r="AA44" s="56" t="str">
        <f>IF(AND('Mapa final'!$AA$62="Baja",'Mapa final'!$AC$62="Moderado"),CONCATENATE("R9C",'Mapa final'!$Q$62),"")</f>
        <v/>
      </c>
      <c r="AB44" s="38" t="str">
        <f>IF(AND('Mapa final'!$AA$57="Baja",'Mapa final'!$AC$57="Mayor"),CONCATENATE("R9C",'Mapa final'!$Q$57),"")</f>
        <v/>
      </c>
      <c r="AC44" s="39" t="str">
        <f>IF(AND('Mapa final'!$AA$58="Baja",'Mapa final'!$AC$58="Mayor"),CONCATENATE("R9C",'Mapa final'!$Q$58),"")</f>
        <v/>
      </c>
      <c r="AD44" s="44" t="str">
        <f>IF(AND('Mapa final'!$AA$59="Baja",'Mapa final'!$AC$59="Mayor"),CONCATENATE("R9C",'Mapa final'!$Q$59),"")</f>
        <v/>
      </c>
      <c r="AE44" s="44" t="str">
        <f>IF(AND('Mapa final'!$AA$60="Baja",'Mapa final'!$AC$60="Mayor"),CONCATENATE("R9C",'Mapa final'!$Q$60),"")</f>
        <v/>
      </c>
      <c r="AF44" s="44" t="str">
        <f>IF(AND('Mapa final'!$AA$61="Baja",'Mapa final'!$AC$61="Mayor"),CONCATENATE("R9C",'Mapa final'!$Q$61),"")</f>
        <v/>
      </c>
      <c r="AG44" s="40" t="str">
        <f>IF(AND('Mapa final'!$AA$62="Baja",'Mapa final'!$AC$62="Mayor"),CONCATENATE("R9C",'Mapa final'!$Q$62),"")</f>
        <v/>
      </c>
      <c r="AH44" s="41" t="str">
        <f>IF(AND('Mapa final'!$AA$57="Baja",'Mapa final'!$AC$57="Catastrófico"),CONCATENATE("R9C",'Mapa final'!$Q$57),"")</f>
        <v/>
      </c>
      <c r="AI44" s="42" t="str">
        <f>IF(AND('Mapa final'!$AA$58="Baja",'Mapa final'!$AC$58="Catastrófico"),CONCATENATE("R9C",'Mapa final'!$Q$58),"")</f>
        <v/>
      </c>
      <c r="AJ44" s="42" t="str">
        <f>IF(AND('Mapa final'!$AA$59="Baja",'Mapa final'!$AC$59="Catastrófico"),CONCATENATE("R9C",'Mapa final'!$Q$59),"")</f>
        <v/>
      </c>
      <c r="AK44" s="42" t="str">
        <f>IF(AND('Mapa final'!$AA$60="Baja",'Mapa final'!$AC$60="Catastrófico"),CONCATENATE("R9C",'Mapa final'!$Q$60),"")</f>
        <v/>
      </c>
      <c r="AL44" s="42" t="str">
        <f>IF(AND('Mapa final'!$AA$61="Baja",'Mapa final'!$AC$61="Catastrófico"),CONCATENATE("R9C",'Mapa final'!$Q$61),"")</f>
        <v/>
      </c>
      <c r="AM44" s="43" t="str">
        <f>IF(AND('Mapa final'!$AA$62="Baja",'Mapa final'!$AC$62="Catastrófico"),CONCATENATE("R9C",'Mapa final'!$Q$62),"")</f>
        <v/>
      </c>
      <c r="AN44" s="70"/>
      <c r="AO44" s="363"/>
      <c r="AP44" s="364"/>
      <c r="AQ44" s="364"/>
      <c r="AR44" s="364"/>
      <c r="AS44" s="364"/>
      <c r="AT44" s="365"/>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41"/>
      <c r="C45" s="241"/>
      <c r="D45" s="242"/>
      <c r="E45" s="344"/>
      <c r="F45" s="345"/>
      <c r="G45" s="345"/>
      <c r="H45" s="345"/>
      <c r="I45" s="345"/>
      <c r="J45" s="66" t="str">
        <f>IF(AND('Mapa final'!$AA$63="Baja",'Mapa final'!$AC$63="Leve"),CONCATENATE("R10C",'Mapa final'!$Q$63),"")</f>
        <v/>
      </c>
      <c r="K45" s="67" t="str">
        <f>IF(AND('Mapa final'!$AA$64="Baja",'Mapa final'!$AC$64="Leve"),CONCATENATE("R10C",'Mapa final'!$Q$64),"")</f>
        <v/>
      </c>
      <c r="L45" s="67" t="str">
        <f>IF(AND('Mapa final'!$AA$65="Baja",'Mapa final'!$AC$65="Leve"),CONCATENATE("R10C",'Mapa final'!$Q$65),"")</f>
        <v/>
      </c>
      <c r="M45" s="67" t="str">
        <f>IF(AND('Mapa final'!$AA$66="Baja",'Mapa final'!$AC$66="Leve"),CONCATENATE("R10C",'Mapa final'!$Q$66),"")</f>
        <v/>
      </c>
      <c r="N45" s="67" t="str">
        <f>IF(AND('Mapa final'!$AA$67="Baja",'Mapa final'!$AC$67="Leve"),CONCATENATE("R10C",'Mapa final'!$Q$67),"")</f>
        <v/>
      </c>
      <c r="O45" s="68" t="str">
        <f>IF(AND('Mapa final'!$AA$68="Baja",'Mapa final'!$AC$68="Leve"),CONCATENATE("R10C",'Mapa final'!$Q$68),"")</f>
        <v/>
      </c>
      <c r="P45" s="54" t="str">
        <f>IF(AND('Mapa final'!$AA$63="Baja",'Mapa final'!$AC$63="Menor"),CONCATENATE("R10C",'Mapa final'!$Q$63),"")</f>
        <v/>
      </c>
      <c r="Q45" s="55" t="str">
        <f>IF(AND('Mapa final'!$AA$64="Baja",'Mapa final'!$AC$64="Menor"),CONCATENATE("R10C",'Mapa final'!$Q$64),"")</f>
        <v/>
      </c>
      <c r="R45" s="55" t="str">
        <f>IF(AND('Mapa final'!$AA$65="Baja",'Mapa final'!$AC$65="Menor"),CONCATENATE("R10C",'Mapa final'!$Q$65),"")</f>
        <v/>
      </c>
      <c r="S45" s="55" t="str">
        <f>IF(AND('Mapa final'!$AA$66="Baja",'Mapa final'!$AC$66="Menor"),CONCATENATE("R10C",'Mapa final'!$Q$66),"")</f>
        <v/>
      </c>
      <c r="T45" s="55" t="str">
        <f>IF(AND('Mapa final'!$AA$67="Baja",'Mapa final'!$AC$67="Menor"),CONCATENATE("R10C",'Mapa final'!$Q$67),"")</f>
        <v/>
      </c>
      <c r="U45" s="56" t="str">
        <f>IF(AND('Mapa final'!$AA$68="Baja",'Mapa final'!$AC$68="Menor"),CONCATENATE("R10C",'Mapa final'!$Q$68),"")</f>
        <v/>
      </c>
      <c r="V45" s="57" t="str">
        <f>IF(AND('Mapa final'!$AA$63="Baja",'Mapa final'!$AC$63="Moderado"),CONCATENATE("R10C",'Mapa final'!$Q$63),"")</f>
        <v/>
      </c>
      <c r="W45" s="58" t="str">
        <f>IF(AND('Mapa final'!$AA$64="Baja",'Mapa final'!$AC$64="Moderado"),CONCATENATE("R10C",'Mapa final'!$Q$64),"")</f>
        <v/>
      </c>
      <c r="X45" s="58" t="str">
        <f>IF(AND('Mapa final'!$AA$65="Baja",'Mapa final'!$AC$65="Moderado"),CONCATENATE("R10C",'Mapa final'!$Q$65),"")</f>
        <v/>
      </c>
      <c r="Y45" s="58" t="str">
        <f>IF(AND('Mapa final'!$AA$66="Baja",'Mapa final'!$AC$66="Moderado"),CONCATENATE("R10C",'Mapa final'!$Q$66),"")</f>
        <v/>
      </c>
      <c r="Z45" s="58" t="str">
        <f>IF(AND('Mapa final'!$AA$67="Baja",'Mapa final'!$AC$67="Moderado"),CONCATENATE("R10C",'Mapa final'!$Q$67),"")</f>
        <v/>
      </c>
      <c r="AA45" s="59" t="str">
        <f>IF(AND('Mapa final'!$AA$68="Baja",'Mapa final'!$AC$68="Moderado"),CONCATENATE("R10C",'Mapa final'!$Q$68),"")</f>
        <v/>
      </c>
      <c r="AB45" s="45" t="str">
        <f>IF(AND('Mapa final'!$AA$63="Baja",'Mapa final'!$AC$63="Mayor"),CONCATENATE("R10C",'Mapa final'!$Q$63),"")</f>
        <v/>
      </c>
      <c r="AC45" s="46" t="str">
        <f>IF(AND('Mapa final'!$AA$64="Baja",'Mapa final'!$AC$64="Mayor"),CONCATENATE("R10C",'Mapa final'!$Q$64),"")</f>
        <v/>
      </c>
      <c r="AD45" s="46" t="str">
        <f>IF(AND('Mapa final'!$AA$65="Baja",'Mapa final'!$AC$65="Mayor"),CONCATENATE("R10C",'Mapa final'!$Q$65),"")</f>
        <v/>
      </c>
      <c r="AE45" s="46" t="str">
        <f>IF(AND('Mapa final'!$AA$66="Baja",'Mapa final'!$AC$66="Mayor"),CONCATENATE("R10C",'Mapa final'!$Q$66),"")</f>
        <v/>
      </c>
      <c r="AF45" s="46" t="str">
        <f>IF(AND('Mapa final'!$AA$67="Baja",'Mapa final'!$AC$67="Mayor"),CONCATENATE("R10C",'Mapa final'!$Q$67),"")</f>
        <v/>
      </c>
      <c r="AG45" s="47" t="str">
        <f>IF(AND('Mapa final'!$AA$68="Baja",'Mapa final'!$AC$68="Mayor"),CONCATENATE("R10C",'Mapa final'!$Q$68),"")</f>
        <v/>
      </c>
      <c r="AH45" s="48" t="str">
        <f>IF(AND('Mapa final'!$AA$63="Baja",'Mapa final'!$AC$63="Catastrófico"),CONCATENATE("R10C",'Mapa final'!$Q$63),"")</f>
        <v/>
      </c>
      <c r="AI45" s="49" t="str">
        <f>IF(AND('Mapa final'!$AA$64="Baja",'Mapa final'!$AC$64="Catastrófico"),CONCATENATE("R10C",'Mapa final'!$Q$64),"")</f>
        <v/>
      </c>
      <c r="AJ45" s="49" t="str">
        <f>IF(AND('Mapa final'!$AA$65="Baja",'Mapa final'!$AC$65="Catastrófico"),CONCATENATE("R10C",'Mapa final'!$Q$65),"")</f>
        <v/>
      </c>
      <c r="AK45" s="49" t="str">
        <f>IF(AND('Mapa final'!$AA$66="Baja",'Mapa final'!$AC$66="Catastrófico"),CONCATENATE("R10C",'Mapa final'!$Q$66),"")</f>
        <v/>
      </c>
      <c r="AL45" s="49" t="str">
        <f>IF(AND('Mapa final'!$AA$67="Baja",'Mapa final'!$AC$67="Catastrófico"),CONCATENATE("R10C",'Mapa final'!$Q$67),"")</f>
        <v/>
      </c>
      <c r="AM45" s="50" t="str">
        <f>IF(AND('Mapa final'!$AA$68="Baja",'Mapa final'!$AC$68="Catastrófico"),CONCATENATE("R10C",'Mapa final'!$Q$68),"")</f>
        <v/>
      </c>
      <c r="AN45" s="70"/>
      <c r="AO45" s="366"/>
      <c r="AP45" s="367"/>
      <c r="AQ45" s="367"/>
      <c r="AR45" s="367"/>
      <c r="AS45" s="367"/>
      <c r="AT45" s="368"/>
    </row>
    <row r="46" spans="1:80" ht="46.5" customHeight="1" x14ac:dyDescent="0.35">
      <c r="A46" s="70"/>
      <c r="B46" s="241"/>
      <c r="C46" s="241"/>
      <c r="D46" s="242"/>
      <c r="E46" s="338" t="s">
        <v>109</v>
      </c>
      <c r="F46" s="339"/>
      <c r="G46" s="339"/>
      <c r="H46" s="339"/>
      <c r="I46" s="357"/>
      <c r="J46" s="60" t="str">
        <f>IF(AND('Mapa final'!$AA$9="Muy Baja",'Mapa final'!$AC$9="Leve"),CONCATENATE("R1C",'Mapa final'!$Q$9),"")</f>
        <v/>
      </c>
      <c r="K46" s="61" t="str">
        <f>IF(AND('Mapa final'!$AA$10="Muy Baja",'Mapa final'!$AC$10="Leve"),CONCATENATE("R1C",'Mapa final'!$Q$10),"")</f>
        <v/>
      </c>
      <c r="L46" s="61" t="str">
        <f>IF(AND('Mapa final'!$AA$11="Muy Baja",'Mapa final'!$AC$11="Leve"),CONCATENATE("R1C",'Mapa final'!$Q$11),"")</f>
        <v/>
      </c>
      <c r="M46" s="61" t="str">
        <f>IF(AND('Mapa final'!$AA$12="Muy Baja",'Mapa final'!$AC$12="Leve"),CONCATENATE("R1C",'Mapa final'!$Q$12),"")</f>
        <v/>
      </c>
      <c r="N46" s="61" t="str">
        <f>IF(AND('Mapa final'!$AA$13="Muy Baja",'Mapa final'!$AC$13="Leve"),CONCATENATE("R1C",'Mapa final'!$Q$13),"")</f>
        <v/>
      </c>
      <c r="O46" s="62" t="str">
        <f>IF(AND('Mapa final'!$AA$14="Muy Baja",'Mapa final'!$AC$14="Leve"),CONCATENATE("R1C",'Mapa final'!$Q$14),"")</f>
        <v/>
      </c>
      <c r="P46" s="60" t="str">
        <f>IF(AND('Mapa final'!$AA$9="Muy Baja",'Mapa final'!$AC$9="Menor"),CONCATENATE("R1C",'Mapa final'!$Q$9),"")</f>
        <v/>
      </c>
      <c r="Q46" s="61" t="str">
        <f>IF(AND('Mapa final'!$AA$10="Muy Baja",'Mapa final'!$AC$10="Menor"),CONCATENATE("R1C",'Mapa final'!$Q$10),"")</f>
        <v/>
      </c>
      <c r="R46" s="61" t="str">
        <f>IF(AND('Mapa final'!$AA$11="Muy Baja",'Mapa final'!$AC$11="Menor"),CONCATENATE("R1C",'Mapa final'!$Q$11),"")</f>
        <v/>
      </c>
      <c r="S46" s="61" t="str">
        <f>IF(AND('Mapa final'!$AA$12="Muy Baja",'Mapa final'!$AC$12="Menor"),CONCATENATE("R1C",'Mapa final'!$Q$12),"")</f>
        <v/>
      </c>
      <c r="T46" s="61" t="str">
        <f>IF(AND('Mapa final'!$AA$13="Muy Baja",'Mapa final'!$AC$13="Menor"),CONCATENATE("R1C",'Mapa final'!$Q$13),"")</f>
        <v/>
      </c>
      <c r="U46" s="62" t="str">
        <f>IF(AND('Mapa final'!$AA$14="Muy Baja",'Mapa final'!$AC$14="Menor"),CONCATENATE("R1C",'Mapa final'!$Q$14),"")</f>
        <v/>
      </c>
      <c r="V46" s="51" t="str">
        <f>IF(AND('Mapa final'!$AA$9="Muy Baja",'Mapa final'!$AC$9="Moderado"),CONCATENATE("R1C",'Mapa final'!$Q$9),"")</f>
        <v/>
      </c>
      <c r="W46" s="69" t="str">
        <f>IF(AND('Mapa final'!$AA$10="Muy Baja",'Mapa final'!$AC$10="Moderado"),CONCATENATE("R1C",'Mapa final'!$Q$10),"")</f>
        <v/>
      </c>
      <c r="X46" s="52" t="str">
        <f>IF(AND('Mapa final'!$AA$11="Muy Baja",'Mapa final'!$AC$11="Moderado"),CONCATENATE("R1C",'Mapa final'!$Q$11),"")</f>
        <v/>
      </c>
      <c r="Y46" s="52" t="str">
        <f>IF(AND('Mapa final'!$AA$12="Muy Baja",'Mapa final'!$AC$12="Moderado"),CONCATENATE("R1C",'Mapa final'!$Q$12),"")</f>
        <v/>
      </c>
      <c r="Z46" s="52" t="str">
        <f>IF(AND('Mapa final'!$AA$13="Muy Baja",'Mapa final'!$AC$13="Moderado"),CONCATENATE("R1C",'Mapa final'!$Q$13),"")</f>
        <v/>
      </c>
      <c r="AA46" s="53" t="str">
        <f>IF(AND('Mapa final'!$AA$14="Muy Baja",'Mapa final'!$AC$14="Moderado"),CONCATENATE("R1C",'Mapa final'!$Q$14),"")</f>
        <v/>
      </c>
      <c r="AB46" s="32" t="str">
        <f>IF(AND('Mapa final'!$AA$9="Muy Baja",'Mapa final'!$AC$9="Mayor"),CONCATENATE("R1C",'Mapa final'!$Q$9),"")</f>
        <v/>
      </c>
      <c r="AC46" s="33" t="str">
        <f>IF(AND('Mapa final'!$AA$10="Muy Baja",'Mapa final'!$AC$10="Mayor"),CONCATENATE("R1C",'Mapa final'!$Q$10),"")</f>
        <v/>
      </c>
      <c r="AD46" s="33" t="str">
        <f>IF(AND('Mapa final'!$AA$11="Muy Baja",'Mapa final'!$AC$11="Mayor"),CONCATENATE("R1C",'Mapa final'!$Q$11),"")</f>
        <v/>
      </c>
      <c r="AE46" s="33" t="str">
        <f>IF(AND('Mapa final'!$AA$12="Muy Baja",'Mapa final'!$AC$12="Mayor"),CONCATENATE("R1C",'Mapa final'!$Q$12),"")</f>
        <v/>
      </c>
      <c r="AF46" s="33" t="str">
        <f>IF(AND('Mapa final'!$AA$13="Muy Baja",'Mapa final'!$AC$13="Mayor"),CONCATENATE("R1C",'Mapa final'!$Q$13),"")</f>
        <v/>
      </c>
      <c r="AG46" s="34" t="str">
        <f>IF(AND('Mapa final'!$AA$14="Muy Baja",'Mapa final'!$AC$14="Mayor"),CONCATENATE("R1C",'Mapa final'!$Q$14),"")</f>
        <v/>
      </c>
      <c r="AH46" s="35" t="str">
        <f>IF(AND('Mapa final'!$AA$9="Muy Baja",'Mapa final'!$AC$9="Catastrófico"),CONCATENATE("R1C",'Mapa final'!$Q$9),"")</f>
        <v/>
      </c>
      <c r="AI46" s="36" t="str">
        <f>IF(AND('Mapa final'!$AA$10="Muy Baja",'Mapa final'!$AC$10="Catastrófico"),CONCATENATE("R1C",'Mapa final'!$Q$10),"")</f>
        <v/>
      </c>
      <c r="AJ46" s="36" t="str">
        <f>IF(AND('Mapa final'!$AA$11="Muy Baja",'Mapa final'!$AC$11="Catastrófico"),CONCATENATE("R1C",'Mapa final'!$Q$11),"")</f>
        <v/>
      </c>
      <c r="AK46" s="36" t="str">
        <f>IF(AND('Mapa final'!$AA$12="Muy Baja",'Mapa final'!$AC$12="Catastrófico"),CONCATENATE("R1C",'Mapa final'!$Q$12),"")</f>
        <v/>
      </c>
      <c r="AL46" s="36" t="str">
        <f>IF(AND('Mapa final'!$AA$13="Muy Baja",'Mapa final'!$AC$13="Catastrófico"),CONCATENATE("R1C",'Mapa final'!$Q$13),"")</f>
        <v/>
      </c>
      <c r="AM46" s="37" t="str">
        <f>IF(AND('Mapa final'!$AA$14="Muy Baja",'Mapa final'!$AC$14="Catastrófico"),CONCATENATE("R1C",'Mapa final'!$Q$14),"")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241"/>
      <c r="C47" s="241"/>
      <c r="D47" s="242"/>
      <c r="E47" s="340"/>
      <c r="F47" s="341"/>
      <c r="G47" s="341"/>
      <c r="H47" s="341"/>
      <c r="I47" s="358"/>
      <c r="J47" s="63" t="str">
        <f>IF(AND('Mapa final'!$AA$15="Muy Baja",'Mapa final'!$AC$15="Leve"),CONCATENATE("R2C",'Mapa final'!$Q$15),"")</f>
        <v/>
      </c>
      <c r="K47" s="64" t="str">
        <f>IF(AND('Mapa final'!$AA$16="Muy Baja",'Mapa final'!$AC$16="Leve"),CONCATENATE("R2C",'Mapa final'!$Q$16),"")</f>
        <v>R2C2</v>
      </c>
      <c r="L47" s="64" t="str">
        <f>IF(AND('Mapa final'!$AA$17="Muy Baja",'Mapa final'!$AC$17="Leve"),CONCATENATE("R2C",'Mapa final'!$Q$17),"")</f>
        <v/>
      </c>
      <c r="M47" s="64" t="str">
        <f>IF(AND('Mapa final'!$AA$18="Muy Baja",'Mapa final'!$AC$18="Leve"),CONCATENATE("R2C",'Mapa final'!$Q$18),"")</f>
        <v/>
      </c>
      <c r="N47" s="64" t="str">
        <f>IF(AND('Mapa final'!$AA$19="Muy Baja",'Mapa final'!$AC$19="Leve"),CONCATENATE("R2C",'Mapa final'!$Q$19),"")</f>
        <v/>
      </c>
      <c r="O47" s="65" t="str">
        <f>IF(AND('Mapa final'!$AA$20="Muy Baja",'Mapa final'!$AC$20="Leve"),CONCATENATE("R2C",'Mapa final'!$Q$20),"")</f>
        <v/>
      </c>
      <c r="P47" s="63" t="str">
        <f>IF(AND('Mapa final'!$AA$15="Muy Baja",'Mapa final'!$AC$15="Menor"),CONCATENATE("R2C",'Mapa final'!$Q$15),"")</f>
        <v/>
      </c>
      <c r="Q47" s="64" t="str">
        <f>IF(AND('Mapa final'!$AA$16="Muy Baja",'Mapa final'!$AC$16="Menor"),CONCATENATE("R2C",'Mapa final'!$Q$16),"")</f>
        <v/>
      </c>
      <c r="R47" s="64" t="str">
        <f>IF(AND('Mapa final'!$AA$17="Muy Baja",'Mapa final'!$AC$17="Menor"),CONCATENATE("R2C",'Mapa final'!$Q$17),"")</f>
        <v/>
      </c>
      <c r="S47" s="64" t="str">
        <f>IF(AND('Mapa final'!$AA$18="Muy Baja",'Mapa final'!$AC$18="Menor"),CONCATENATE("R2C",'Mapa final'!$Q$18),"")</f>
        <v/>
      </c>
      <c r="T47" s="64" t="str">
        <f>IF(AND('Mapa final'!$AA$19="Muy Baja",'Mapa final'!$AC$19="Menor"),CONCATENATE("R2C",'Mapa final'!$Q$19),"")</f>
        <v/>
      </c>
      <c r="U47" s="65" t="str">
        <f>IF(AND('Mapa final'!$AA$20="Muy Baja",'Mapa final'!$AC$20="Menor"),CONCATENATE("R2C",'Mapa final'!$Q$20),"")</f>
        <v/>
      </c>
      <c r="V47" s="54" t="str">
        <f>IF(AND('Mapa final'!$AA$15="Muy Baja",'Mapa final'!$AC$15="Moderado"),CONCATENATE("R2C",'Mapa final'!$Q$15),"")</f>
        <v/>
      </c>
      <c r="W47" s="55" t="str">
        <f>IF(AND('Mapa final'!$AA$16="Muy Baja",'Mapa final'!$AC$16="Moderado"),CONCATENATE("R2C",'Mapa final'!$Q$16),"")</f>
        <v/>
      </c>
      <c r="X47" s="55" t="str">
        <f>IF(AND('Mapa final'!$AA$17="Muy Baja",'Mapa final'!$AC$17="Moderado"),CONCATENATE("R2C",'Mapa final'!$Q$17),"")</f>
        <v/>
      </c>
      <c r="Y47" s="55" t="str">
        <f>IF(AND('Mapa final'!$AA$18="Muy Baja",'Mapa final'!$AC$18="Moderado"),CONCATENATE("R2C",'Mapa final'!$Q$18),"")</f>
        <v/>
      </c>
      <c r="Z47" s="55" t="str">
        <f>IF(AND('Mapa final'!$AA$19="Muy Baja",'Mapa final'!$AC$19="Moderado"),CONCATENATE("R2C",'Mapa final'!$Q$19),"")</f>
        <v/>
      </c>
      <c r="AA47" s="56" t="str">
        <f>IF(AND('Mapa final'!$AA$20="Muy Baja",'Mapa final'!$AC$20="Moderado"),CONCATENATE("R2C",'Mapa final'!$Q$20),"")</f>
        <v/>
      </c>
      <c r="AB47" s="38" t="str">
        <f>IF(AND('Mapa final'!$AA$15="Muy Baja",'Mapa final'!$AC$15="Mayor"),CONCATENATE("R2C",'Mapa final'!$Q$15),"")</f>
        <v>R2C1</v>
      </c>
      <c r="AC47" s="39" t="str">
        <f>IF(AND('Mapa final'!$AA$16="Muy Baja",'Mapa final'!$AC$16="Mayor"),CONCATENATE("R2C",'Mapa final'!$Q$16),"")</f>
        <v/>
      </c>
      <c r="AD47" s="39" t="str">
        <f>IF(AND('Mapa final'!$AA$17="Muy Baja",'Mapa final'!$AC$17="Mayor"),CONCATENATE("R2C",'Mapa final'!$Q$17),"")</f>
        <v/>
      </c>
      <c r="AE47" s="39" t="str">
        <f>IF(AND('Mapa final'!$AA$18="Muy Baja",'Mapa final'!$AC$18="Mayor"),CONCATENATE("R2C",'Mapa final'!$Q$18),"")</f>
        <v/>
      </c>
      <c r="AF47" s="39" t="str">
        <f>IF(AND('Mapa final'!$AA$19="Muy Baja",'Mapa final'!$AC$19="Mayor"),CONCATENATE("R2C",'Mapa final'!$Q$19),"")</f>
        <v/>
      </c>
      <c r="AG47" s="40" t="str">
        <f>IF(AND('Mapa final'!$AA$20="Muy Baja",'Mapa final'!$AC$20="Mayor"),CONCATENATE("R2C",'Mapa final'!$Q$20),"")</f>
        <v/>
      </c>
      <c r="AH47" s="41" t="str">
        <f>IF(AND('Mapa final'!$AA$15="Muy Baja",'Mapa final'!$AC$15="Catastrófico"),CONCATENATE("R2C",'Mapa final'!$Q$15),"")</f>
        <v/>
      </c>
      <c r="AI47" s="42" t="str">
        <f>IF(AND('Mapa final'!$AA$16="Muy Baja",'Mapa final'!$AC$16="Catastrófico"),CONCATENATE("R2C",'Mapa final'!$Q$16),"")</f>
        <v/>
      </c>
      <c r="AJ47" s="42" t="str">
        <f>IF(AND('Mapa final'!$AA$17="Muy Baja",'Mapa final'!$AC$17="Catastrófico"),CONCATENATE("R2C",'Mapa final'!$Q$17),"")</f>
        <v/>
      </c>
      <c r="AK47" s="42" t="str">
        <f>IF(AND('Mapa final'!$AA$18="Muy Baja",'Mapa final'!$AC$18="Catastrófico"),CONCATENATE("R2C",'Mapa final'!$Q$18),"")</f>
        <v/>
      </c>
      <c r="AL47" s="42" t="str">
        <f>IF(AND('Mapa final'!$AA$19="Muy Baja",'Mapa final'!$AC$19="Catastrófico"),CONCATENATE("R2C",'Mapa final'!$Q$19),"")</f>
        <v/>
      </c>
      <c r="AM47" s="43" t="str">
        <f>IF(AND('Mapa final'!$AA$20="Muy Baja",'Mapa final'!$AC$20="Catastrófico"),CONCATENATE("R2C",'Mapa final'!$Q$20),"")</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41"/>
      <c r="C48" s="241"/>
      <c r="D48" s="242"/>
      <c r="E48" s="340"/>
      <c r="F48" s="341"/>
      <c r="G48" s="341"/>
      <c r="H48" s="341"/>
      <c r="I48" s="358"/>
      <c r="J48" s="63" t="str">
        <f>IF(AND('Mapa final'!$AA$21="Muy Baja",'Mapa final'!$AC$21="Leve"),CONCATENATE("R3C",'Mapa final'!$Q$21),"")</f>
        <v/>
      </c>
      <c r="K48" s="64" t="str">
        <f>IF(AND('Mapa final'!$AA$22="Muy Baja",'Mapa final'!$AC$22="Leve"),CONCATENATE("R3C",'Mapa final'!$Q$22),"")</f>
        <v/>
      </c>
      <c r="L48" s="64" t="str">
        <f>IF(AND('Mapa final'!$AA$23="Muy Baja",'Mapa final'!$AC$23="Leve"),CONCATENATE("R3C",'Mapa final'!$Q$23),"")</f>
        <v/>
      </c>
      <c r="M48" s="64" t="str">
        <f>IF(AND('Mapa final'!$AA$24="Muy Baja",'Mapa final'!$AC$24="Leve"),CONCATENATE("R3C",'Mapa final'!$Q$24),"")</f>
        <v/>
      </c>
      <c r="N48" s="64" t="str">
        <f>IF(AND('Mapa final'!$AA$25="Muy Baja",'Mapa final'!$AC$25="Leve"),CONCATENATE("R3C",'Mapa final'!$Q$25),"")</f>
        <v/>
      </c>
      <c r="O48" s="65" t="str">
        <f>IF(AND('Mapa final'!$AA$26="Muy Baja",'Mapa final'!$AC$26="Leve"),CONCATENATE("R3C",'Mapa final'!$Q$26),"")</f>
        <v/>
      </c>
      <c r="P48" s="63" t="str">
        <f>IF(AND('Mapa final'!$AA$21="Muy Baja",'Mapa final'!$AC$21="Menor"),CONCATENATE("R3C",'Mapa final'!$Q$21),"")</f>
        <v/>
      </c>
      <c r="Q48" s="64" t="str">
        <f>IF(AND('Mapa final'!$AA$22="Muy Baja",'Mapa final'!$AC$22="Menor"),CONCATENATE("R3C",'Mapa final'!$Q$22),"")</f>
        <v/>
      </c>
      <c r="R48" s="64" t="str">
        <f>IF(AND('Mapa final'!$AA$23="Muy Baja",'Mapa final'!$AC$23="Menor"),CONCATENATE("R3C",'Mapa final'!$Q$23),"")</f>
        <v/>
      </c>
      <c r="S48" s="64" t="str">
        <f>IF(AND('Mapa final'!$AA$24="Muy Baja",'Mapa final'!$AC$24="Menor"),CONCATENATE("R3C",'Mapa final'!$Q$24),"")</f>
        <v/>
      </c>
      <c r="T48" s="64" t="str">
        <f>IF(AND('Mapa final'!$AA$25="Muy Baja",'Mapa final'!$AC$25="Menor"),CONCATENATE("R3C",'Mapa final'!$Q$25),"")</f>
        <v/>
      </c>
      <c r="U48" s="65" t="str">
        <f>IF(AND('Mapa final'!$AA$26="Muy Baja",'Mapa final'!$AC$26="Menor"),CONCATENATE("R3C",'Mapa final'!$Q$26),"")</f>
        <v/>
      </c>
      <c r="V48" s="54" t="str">
        <f>IF(AND('Mapa final'!$AA$21="Muy Baja",'Mapa final'!$AC$21="Moderado"),CONCATENATE("R3C",'Mapa final'!$Q$21),"")</f>
        <v/>
      </c>
      <c r="W48" s="55" t="str">
        <f>IF(AND('Mapa final'!$AA$22="Muy Baja",'Mapa final'!$AC$22="Moderado"),CONCATENATE("R3C",'Mapa final'!$Q$22),"")</f>
        <v/>
      </c>
      <c r="X48" s="55" t="str">
        <f>IF(AND('Mapa final'!$AA$23="Muy Baja",'Mapa final'!$AC$23="Moderado"),CONCATENATE("R3C",'Mapa final'!$Q$23),"")</f>
        <v/>
      </c>
      <c r="Y48" s="55" t="str">
        <f>IF(AND('Mapa final'!$AA$24="Muy Baja",'Mapa final'!$AC$24="Moderado"),CONCATENATE("R3C",'Mapa final'!$Q$24),"")</f>
        <v/>
      </c>
      <c r="Z48" s="55" t="str">
        <f>IF(AND('Mapa final'!$AA$25="Muy Baja",'Mapa final'!$AC$25="Moderado"),CONCATENATE("R3C",'Mapa final'!$Q$25),"")</f>
        <v/>
      </c>
      <c r="AA48" s="56" t="str">
        <f>IF(AND('Mapa final'!$AA$26="Muy Baja",'Mapa final'!$AC$26="Moderado"),CONCATENATE("R3C",'Mapa final'!$Q$26),"")</f>
        <v/>
      </c>
      <c r="AB48" s="38" t="str">
        <f>IF(AND('Mapa final'!$AA$21="Muy Baja",'Mapa final'!$AC$21="Mayor"),CONCATENATE("R3C",'Mapa final'!$Q$21),"")</f>
        <v/>
      </c>
      <c r="AC48" s="39" t="str">
        <f>IF(AND('Mapa final'!$AA$22="Muy Baja",'Mapa final'!$AC$22="Mayor"),CONCATENATE("R3C",'Mapa final'!$Q$22),"")</f>
        <v/>
      </c>
      <c r="AD48" s="39" t="str">
        <f>IF(AND('Mapa final'!$AA$23="Muy Baja",'Mapa final'!$AC$23="Mayor"),CONCATENATE("R3C",'Mapa final'!$Q$23),"")</f>
        <v/>
      </c>
      <c r="AE48" s="39" t="str">
        <f>IF(AND('Mapa final'!$AA$24="Muy Baja",'Mapa final'!$AC$24="Mayor"),CONCATENATE("R3C",'Mapa final'!$Q$24),"")</f>
        <v/>
      </c>
      <c r="AF48" s="39" t="str">
        <f>IF(AND('Mapa final'!$AA$25="Muy Baja",'Mapa final'!$AC$25="Mayor"),CONCATENATE("R3C",'Mapa final'!$Q$25),"")</f>
        <v/>
      </c>
      <c r="AG48" s="40" t="str">
        <f>IF(AND('Mapa final'!$AA$26="Muy Baja",'Mapa final'!$AC$26="Mayor"),CONCATENATE("R3C",'Mapa final'!$Q$26),"")</f>
        <v/>
      </c>
      <c r="AH48" s="41" t="str">
        <f>IF(AND('Mapa final'!$AA$21="Muy Baja",'Mapa final'!$AC$21="Catastrófico"),CONCATENATE("R3C",'Mapa final'!$Q$21),"")</f>
        <v/>
      </c>
      <c r="AI48" s="42" t="str">
        <f>IF(AND('Mapa final'!$AA$22="Muy Baja",'Mapa final'!$AC$22="Catastrófico"),CONCATENATE("R3C",'Mapa final'!$Q$22),"")</f>
        <v/>
      </c>
      <c r="AJ48" s="42" t="str">
        <f>IF(AND('Mapa final'!$AA$23="Muy Baja",'Mapa final'!$AC$23="Catastrófico"),CONCATENATE("R3C",'Mapa final'!$Q$23),"")</f>
        <v/>
      </c>
      <c r="AK48" s="42" t="str">
        <f>IF(AND('Mapa final'!$AA$24="Muy Baja",'Mapa final'!$AC$24="Catastrófico"),CONCATENATE("R3C",'Mapa final'!$Q$24),"")</f>
        <v/>
      </c>
      <c r="AL48" s="42" t="str">
        <f>IF(AND('Mapa final'!$AA$25="Muy Baja",'Mapa final'!$AC$25="Catastrófico"),CONCATENATE("R3C",'Mapa final'!$Q$25),"")</f>
        <v/>
      </c>
      <c r="AM48" s="43" t="str">
        <f>IF(AND('Mapa final'!$AA$26="Muy Baja",'Mapa final'!$AC$26="Catastrófico"),CONCATENATE("R3C",'Mapa final'!$Q$26),"")</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41"/>
      <c r="C49" s="241"/>
      <c r="D49" s="242"/>
      <c r="E49" s="342"/>
      <c r="F49" s="343"/>
      <c r="G49" s="343"/>
      <c r="H49" s="343"/>
      <c r="I49" s="358"/>
      <c r="J49" s="63" t="str">
        <f>IF(AND('Mapa final'!$AA$27="Muy Baja",'Mapa final'!$AC$27="Leve"),CONCATENATE("R4C",'Mapa final'!$Q$27),"")</f>
        <v/>
      </c>
      <c r="K49" s="64" t="str">
        <f>IF(AND('Mapa final'!$AA$28="Muy Baja",'Mapa final'!$AC$28="Leve"),CONCATENATE("R4C",'Mapa final'!$Q$28),"")</f>
        <v/>
      </c>
      <c r="L49" s="64" t="str">
        <f>IF(AND('Mapa final'!$AA$29="Muy Baja",'Mapa final'!$AC$29="Leve"),CONCATENATE("R4C",'Mapa final'!$Q$29),"")</f>
        <v/>
      </c>
      <c r="M49" s="64" t="str">
        <f>IF(AND('Mapa final'!$AA$30="Muy Baja",'Mapa final'!$AC$30="Leve"),CONCATENATE("R4C",'Mapa final'!$Q$30),"")</f>
        <v/>
      </c>
      <c r="N49" s="64" t="str">
        <f>IF(AND('Mapa final'!$AA$31="Muy Baja",'Mapa final'!$AC$31="Leve"),CONCATENATE("R4C",'Mapa final'!$Q$31),"")</f>
        <v/>
      </c>
      <c r="O49" s="65" t="str">
        <f>IF(AND('Mapa final'!$AA$32="Muy Baja",'Mapa final'!$AC$32="Leve"),CONCATENATE("R4C",'Mapa final'!$Q$32),"")</f>
        <v/>
      </c>
      <c r="P49" s="63" t="str">
        <f>IF(AND('Mapa final'!$AA$27="Muy Baja",'Mapa final'!$AC$27="Menor"),CONCATENATE("R4C",'Mapa final'!$Q$27),"")</f>
        <v/>
      </c>
      <c r="Q49" s="64" t="str">
        <f>IF(AND('Mapa final'!$AA$28="Muy Baja",'Mapa final'!$AC$28="Menor"),CONCATENATE("R4C",'Mapa final'!$Q$28),"")</f>
        <v/>
      </c>
      <c r="R49" s="64" t="str">
        <f>IF(AND('Mapa final'!$AA$29="Muy Baja",'Mapa final'!$AC$29="Menor"),CONCATENATE("R4C",'Mapa final'!$Q$29),"")</f>
        <v/>
      </c>
      <c r="S49" s="64" t="str">
        <f>IF(AND('Mapa final'!$AA$30="Muy Baja",'Mapa final'!$AC$30="Menor"),CONCATENATE("R4C",'Mapa final'!$Q$30),"")</f>
        <v/>
      </c>
      <c r="T49" s="64" t="str">
        <f>IF(AND('Mapa final'!$AA$31="Muy Baja",'Mapa final'!$AC$31="Menor"),CONCATENATE("R4C",'Mapa final'!$Q$31),"")</f>
        <v/>
      </c>
      <c r="U49" s="65" t="str">
        <f>IF(AND('Mapa final'!$AA$32="Muy Baja",'Mapa final'!$AC$32="Menor"),CONCATENATE("R4C",'Mapa final'!$Q$32),"")</f>
        <v/>
      </c>
      <c r="V49" s="54" t="str">
        <f>IF(AND('Mapa final'!$AA$27="Muy Baja",'Mapa final'!$AC$27="Moderado"),CONCATENATE("R4C",'Mapa final'!$Q$27),"")</f>
        <v/>
      </c>
      <c r="W49" s="55" t="str">
        <f>IF(AND('Mapa final'!$AA$28="Muy Baja",'Mapa final'!$AC$28="Moderado"),CONCATENATE("R4C",'Mapa final'!$Q$28),"")</f>
        <v/>
      </c>
      <c r="X49" s="55" t="str">
        <f>IF(AND('Mapa final'!$AA$29="Muy Baja",'Mapa final'!$AC$29="Moderado"),CONCATENATE("R4C",'Mapa final'!$Q$29),"")</f>
        <v/>
      </c>
      <c r="Y49" s="55" t="str">
        <f>IF(AND('Mapa final'!$AA$30="Muy Baja",'Mapa final'!$AC$30="Moderado"),CONCATENATE("R4C",'Mapa final'!$Q$30),"")</f>
        <v/>
      </c>
      <c r="Z49" s="55" t="str">
        <f>IF(AND('Mapa final'!$AA$31="Muy Baja",'Mapa final'!$AC$31="Moderado"),CONCATENATE("R4C",'Mapa final'!$Q$31),"")</f>
        <v/>
      </c>
      <c r="AA49" s="56" t="str">
        <f>IF(AND('Mapa final'!$AA$32="Muy Baja",'Mapa final'!$AC$32="Moderado"),CONCATENATE("R4C",'Mapa final'!$Q$32),"")</f>
        <v/>
      </c>
      <c r="AB49" s="38" t="str">
        <f>IF(AND('Mapa final'!$AA$27="Muy Baja",'Mapa final'!$AC$27="Mayor"),CONCATENATE("R4C",'Mapa final'!$Q$27),"")</f>
        <v/>
      </c>
      <c r="AC49" s="39" t="str">
        <f>IF(AND('Mapa final'!$AA$28="Muy Baja",'Mapa final'!$AC$28="Mayor"),CONCATENATE("R4C",'Mapa final'!$Q$28),"")</f>
        <v/>
      </c>
      <c r="AD49" s="39" t="str">
        <f>IF(AND('Mapa final'!$AA$29="Muy Baja",'Mapa final'!$AC$29="Mayor"),CONCATENATE("R4C",'Mapa final'!$Q$29),"")</f>
        <v/>
      </c>
      <c r="AE49" s="39" t="str">
        <f>IF(AND('Mapa final'!$AA$30="Muy Baja",'Mapa final'!$AC$30="Mayor"),CONCATENATE("R4C",'Mapa final'!$Q$30),"")</f>
        <v/>
      </c>
      <c r="AF49" s="39" t="str">
        <f>IF(AND('Mapa final'!$AA$31="Muy Baja",'Mapa final'!$AC$31="Mayor"),CONCATENATE("R4C",'Mapa final'!$Q$31),"")</f>
        <v/>
      </c>
      <c r="AG49" s="40" t="str">
        <f>IF(AND('Mapa final'!$AA$32="Muy Baja",'Mapa final'!$AC$32="Mayor"),CONCATENATE("R4C",'Mapa final'!$Q$32),"")</f>
        <v/>
      </c>
      <c r="AH49" s="41" t="str">
        <f>IF(AND('Mapa final'!$AA$27="Muy Baja",'Mapa final'!$AC$27="Catastrófico"),CONCATENATE("R4C",'Mapa final'!$Q$27),"")</f>
        <v/>
      </c>
      <c r="AI49" s="42" t="str">
        <f>IF(AND('Mapa final'!$AA$28="Muy Baja",'Mapa final'!$AC$28="Catastrófico"),CONCATENATE("R4C",'Mapa final'!$Q$28),"")</f>
        <v/>
      </c>
      <c r="AJ49" s="42" t="str">
        <f>IF(AND('Mapa final'!$AA$29="Muy Baja",'Mapa final'!$AC$29="Catastrófico"),CONCATENATE("R4C",'Mapa final'!$Q$29),"")</f>
        <v/>
      </c>
      <c r="AK49" s="42" t="str">
        <f>IF(AND('Mapa final'!$AA$30="Muy Baja",'Mapa final'!$AC$30="Catastrófico"),CONCATENATE("R4C",'Mapa final'!$Q$30),"")</f>
        <v/>
      </c>
      <c r="AL49" s="42" t="str">
        <f>IF(AND('Mapa final'!$AA$31="Muy Baja",'Mapa final'!$AC$31="Catastrófico"),CONCATENATE("R4C",'Mapa final'!$Q$31),"")</f>
        <v/>
      </c>
      <c r="AM49" s="43" t="str">
        <f>IF(AND('Mapa final'!$AA$32="Muy Baja",'Mapa final'!$AC$32="Catastrófico"),CONCATENATE("R4C",'Mapa final'!$Q$32),"")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41"/>
      <c r="C50" s="241"/>
      <c r="D50" s="242"/>
      <c r="E50" s="342"/>
      <c r="F50" s="343"/>
      <c r="G50" s="343"/>
      <c r="H50" s="343"/>
      <c r="I50" s="358"/>
      <c r="J50" s="63" t="str">
        <f>IF(AND('Mapa final'!$AA$33="Muy Baja",'Mapa final'!$AC$33="Leve"),CONCATENATE("R5C",'Mapa final'!$Q$33),"")</f>
        <v/>
      </c>
      <c r="K50" s="64" t="str">
        <f>IF(AND('Mapa final'!$AA$34="Muy Baja",'Mapa final'!$AC$34="Leve"),CONCATENATE("R5C",'Mapa final'!$Q$34),"")</f>
        <v/>
      </c>
      <c r="L50" s="64" t="str">
        <f>IF(AND('Mapa final'!$AA$35="Muy Baja",'Mapa final'!$AC$35="Leve"),CONCATENATE("R5C",'Mapa final'!$Q$35),"")</f>
        <v/>
      </c>
      <c r="M50" s="64" t="str">
        <f>IF(AND('Mapa final'!$AA$36="Muy Baja",'Mapa final'!$AC$36="Leve"),CONCATENATE("R5C",'Mapa final'!$Q$36),"")</f>
        <v/>
      </c>
      <c r="N50" s="64" t="str">
        <f>IF(AND('Mapa final'!$AA$37="Muy Baja",'Mapa final'!$AC$37="Leve"),CONCATENATE("R5C",'Mapa final'!$Q$37),"")</f>
        <v/>
      </c>
      <c r="O50" s="65" t="str">
        <f>IF(AND('Mapa final'!$AA$38="Muy Baja",'Mapa final'!$AC$38="Leve"),CONCATENATE("R5C",'Mapa final'!$Q$38),"")</f>
        <v/>
      </c>
      <c r="P50" s="63" t="str">
        <f>IF(AND('Mapa final'!$AA$33="Muy Baja",'Mapa final'!$AC$33="Menor"),CONCATENATE("R5C",'Mapa final'!$Q$33),"")</f>
        <v/>
      </c>
      <c r="Q50" s="64" t="str">
        <f>IF(AND('Mapa final'!$AA$34="Muy Baja",'Mapa final'!$AC$34="Menor"),CONCATENATE("R5C",'Mapa final'!$Q$34),"")</f>
        <v/>
      </c>
      <c r="R50" s="64" t="str">
        <f>IF(AND('Mapa final'!$AA$35="Muy Baja",'Mapa final'!$AC$35="Menor"),CONCATENATE("R5C",'Mapa final'!$Q$35),"")</f>
        <v/>
      </c>
      <c r="S50" s="64" t="str">
        <f>IF(AND('Mapa final'!$AA$36="Muy Baja",'Mapa final'!$AC$36="Menor"),CONCATENATE("R5C",'Mapa final'!$Q$36),"")</f>
        <v/>
      </c>
      <c r="T50" s="64" t="str">
        <f>IF(AND('Mapa final'!$AA$37="Muy Baja",'Mapa final'!$AC$37="Menor"),CONCATENATE("R5C",'Mapa final'!$Q$37),"")</f>
        <v/>
      </c>
      <c r="U50" s="65" t="str">
        <f>IF(AND('Mapa final'!$AA$38="Muy Baja",'Mapa final'!$AC$38="Menor"),CONCATENATE("R5C",'Mapa final'!$Q$38),"")</f>
        <v/>
      </c>
      <c r="V50" s="54" t="str">
        <f>IF(AND('Mapa final'!$AA$33="Muy Baja",'Mapa final'!$AC$33="Moderado"),CONCATENATE("R5C",'Mapa final'!$Q$33),"")</f>
        <v/>
      </c>
      <c r="W50" s="55" t="str">
        <f>IF(AND('Mapa final'!$AA$34="Muy Baja",'Mapa final'!$AC$34="Moderado"),CONCATENATE("R5C",'Mapa final'!$Q$34),"")</f>
        <v/>
      </c>
      <c r="X50" s="55" t="str">
        <f>IF(AND('Mapa final'!$AA$35="Muy Baja",'Mapa final'!$AC$35="Moderado"),CONCATENATE("R5C",'Mapa final'!$Q$35),"")</f>
        <v/>
      </c>
      <c r="Y50" s="55" t="str">
        <f>IF(AND('Mapa final'!$AA$36="Muy Baja",'Mapa final'!$AC$36="Moderado"),CONCATENATE("R5C",'Mapa final'!$Q$36),"")</f>
        <v/>
      </c>
      <c r="Z50" s="55" t="str">
        <f>IF(AND('Mapa final'!$AA$37="Muy Baja",'Mapa final'!$AC$37="Moderado"),CONCATENATE("R5C",'Mapa final'!$Q$37),"")</f>
        <v/>
      </c>
      <c r="AA50" s="56" t="str">
        <f>IF(AND('Mapa final'!$AA$38="Muy Baja",'Mapa final'!$AC$38="Moderado"),CONCATENATE("R5C",'Mapa final'!$Q$38),"")</f>
        <v/>
      </c>
      <c r="AB50" s="38" t="str">
        <f>IF(AND('Mapa final'!$AA$33="Muy Baja",'Mapa final'!$AC$33="Mayor"),CONCATENATE("R5C",'Mapa final'!$Q$33),"")</f>
        <v/>
      </c>
      <c r="AC50" s="39" t="str">
        <f>IF(AND('Mapa final'!$AA$34="Muy Baja",'Mapa final'!$AC$34="Mayor"),CONCATENATE("R5C",'Mapa final'!$Q$34),"")</f>
        <v/>
      </c>
      <c r="AD50" s="44" t="str">
        <f>IF(AND('Mapa final'!$AA$35="Muy Baja",'Mapa final'!$AC$35="Mayor"),CONCATENATE("R5C",'Mapa final'!$Q$35),"")</f>
        <v/>
      </c>
      <c r="AE50" s="44" t="str">
        <f>IF(AND('Mapa final'!$AA$36="Muy Baja",'Mapa final'!$AC$36="Mayor"),CONCATENATE("R5C",'Mapa final'!$Q$36),"")</f>
        <v/>
      </c>
      <c r="AF50" s="44" t="str">
        <f>IF(AND('Mapa final'!$AA$37="Muy Baja",'Mapa final'!$AC$37="Mayor"),CONCATENATE("R5C",'Mapa final'!$Q$37),"")</f>
        <v/>
      </c>
      <c r="AG50" s="40" t="str">
        <f>IF(AND('Mapa final'!$AA$38="Muy Baja",'Mapa final'!$AC$38="Mayor"),CONCATENATE("R5C",'Mapa final'!$Q$38),"")</f>
        <v/>
      </c>
      <c r="AH50" s="41" t="str">
        <f>IF(AND('Mapa final'!$AA$33="Muy Baja",'Mapa final'!$AC$33="Catastrófico"),CONCATENATE("R5C",'Mapa final'!$Q$33),"")</f>
        <v/>
      </c>
      <c r="AI50" s="42" t="str">
        <f>IF(AND('Mapa final'!$AA$34="Muy Baja",'Mapa final'!$AC$34="Catastrófico"),CONCATENATE("R5C",'Mapa final'!$Q$34),"")</f>
        <v/>
      </c>
      <c r="AJ50" s="42" t="str">
        <f>IF(AND('Mapa final'!$AA$35="Muy Baja",'Mapa final'!$AC$35="Catastrófico"),CONCATENATE("R5C",'Mapa final'!$Q$35),"")</f>
        <v/>
      </c>
      <c r="AK50" s="42" t="str">
        <f>IF(AND('Mapa final'!$AA$36="Muy Baja",'Mapa final'!$AC$36="Catastrófico"),CONCATENATE("R5C",'Mapa final'!$Q$36),"")</f>
        <v/>
      </c>
      <c r="AL50" s="42" t="str">
        <f>IF(AND('Mapa final'!$AA$37="Muy Baja",'Mapa final'!$AC$37="Catastrófico"),CONCATENATE("R5C",'Mapa final'!$Q$37),"")</f>
        <v/>
      </c>
      <c r="AM50" s="43" t="str">
        <f>IF(AND('Mapa final'!$AA$38="Muy Baja",'Mapa final'!$AC$38="Catastrófico"),CONCATENATE("R5C",'Mapa final'!$Q$38),"")</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41"/>
      <c r="C51" s="241"/>
      <c r="D51" s="242"/>
      <c r="E51" s="342"/>
      <c r="F51" s="343"/>
      <c r="G51" s="343"/>
      <c r="H51" s="343"/>
      <c r="I51" s="358"/>
      <c r="J51" s="63" t="str">
        <f>IF(AND('Mapa final'!$AA$39="Muy Baja",'Mapa final'!$AC$39="Leve"),CONCATENATE("R6C",'Mapa final'!$Q$39),"")</f>
        <v/>
      </c>
      <c r="K51" s="64" t="str">
        <f>IF(AND('Mapa final'!$AA$40="Muy Baja",'Mapa final'!$AC$40="Leve"),CONCATENATE("R6C",'Mapa final'!$Q$40),"")</f>
        <v/>
      </c>
      <c r="L51" s="64" t="str">
        <f>IF(AND('Mapa final'!$AA$41="Muy Baja",'Mapa final'!$AC$41="Leve"),CONCATENATE("R6C",'Mapa final'!$Q$41),"")</f>
        <v/>
      </c>
      <c r="M51" s="64" t="str">
        <f>IF(AND('Mapa final'!$AA$42="Muy Baja",'Mapa final'!$AC$42="Leve"),CONCATENATE("R6C",'Mapa final'!$Q$42),"")</f>
        <v/>
      </c>
      <c r="N51" s="64" t="str">
        <f>IF(AND('Mapa final'!$AA$43="Muy Baja",'Mapa final'!$AC$43="Leve"),CONCATENATE("R6C",'Mapa final'!$Q$43),"")</f>
        <v/>
      </c>
      <c r="O51" s="65" t="str">
        <f>IF(AND('Mapa final'!$AA$44="Muy Baja",'Mapa final'!$AC$44="Leve"),CONCATENATE("R6C",'Mapa final'!$Q$44),"")</f>
        <v/>
      </c>
      <c r="P51" s="63" t="str">
        <f>IF(AND('Mapa final'!$AA$39="Muy Baja",'Mapa final'!$AC$39="Menor"),CONCATENATE("R6C",'Mapa final'!$Q$39),"")</f>
        <v/>
      </c>
      <c r="Q51" s="64" t="str">
        <f>IF(AND('Mapa final'!$AA$40="Muy Baja",'Mapa final'!$AC$40="Menor"),CONCATENATE("R6C",'Mapa final'!$Q$40),"")</f>
        <v/>
      </c>
      <c r="R51" s="64" t="str">
        <f>IF(AND('Mapa final'!$AA$41="Muy Baja",'Mapa final'!$AC$41="Menor"),CONCATENATE("R6C",'Mapa final'!$Q$41),"")</f>
        <v/>
      </c>
      <c r="S51" s="64" t="str">
        <f>IF(AND('Mapa final'!$AA$42="Muy Baja",'Mapa final'!$AC$42="Menor"),CONCATENATE("R6C",'Mapa final'!$Q$42),"")</f>
        <v/>
      </c>
      <c r="T51" s="64" t="str">
        <f>IF(AND('Mapa final'!$AA$43="Muy Baja",'Mapa final'!$AC$43="Menor"),CONCATENATE("R6C",'Mapa final'!$Q$43),"")</f>
        <v/>
      </c>
      <c r="U51" s="65" t="str">
        <f>IF(AND('Mapa final'!$AA$44="Muy Baja",'Mapa final'!$AC$44="Menor"),CONCATENATE("R6C",'Mapa final'!$Q$44),"")</f>
        <v/>
      </c>
      <c r="V51" s="54" t="str">
        <f>IF(AND('Mapa final'!$AA$39="Muy Baja",'Mapa final'!$AC$39="Moderado"),CONCATENATE("R6C",'Mapa final'!$Q$39),"")</f>
        <v/>
      </c>
      <c r="W51" s="55" t="str">
        <f>IF(AND('Mapa final'!$AA$40="Muy Baja",'Mapa final'!$AC$40="Moderado"),CONCATENATE("R6C",'Mapa final'!$Q$40),"")</f>
        <v/>
      </c>
      <c r="X51" s="55" t="str">
        <f>IF(AND('Mapa final'!$AA$41="Muy Baja",'Mapa final'!$AC$41="Moderado"),CONCATENATE("R6C",'Mapa final'!$Q$41),"")</f>
        <v/>
      </c>
      <c r="Y51" s="55" t="str">
        <f>IF(AND('Mapa final'!$AA$42="Muy Baja",'Mapa final'!$AC$42="Moderado"),CONCATENATE("R6C",'Mapa final'!$Q$42),"")</f>
        <v/>
      </c>
      <c r="Z51" s="55" t="str">
        <f>IF(AND('Mapa final'!$AA$43="Muy Baja",'Mapa final'!$AC$43="Moderado"),CONCATENATE("R6C",'Mapa final'!$Q$43),"")</f>
        <v/>
      </c>
      <c r="AA51" s="56" t="str">
        <f>IF(AND('Mapa final'!$AA$44="Muy Baja",'Mapa final'!$AC$44="Moderado"),CONCATENATE("R6C",'Mapa final'!$Q$44),"")</f>
        <v/>
      </c>
      <c r="AB51" s="38" t="str">
        <f>IF(AND('Mapa final'!$AA$39="Muy Baja",'Mapa final'!$AC$39="Mayor"),CONCATENATE("R6C",'Mapa final'!$Q$39),"")</f>
        <v/>
      </c>
      <c r="AC51" s="39" t="str">
        <f>IF(AND('Mapa final'!$AA$40="Muy Baja",'Mapa final'!$AC$40="Mayor"),CONCATENATE("R6C",'Mapa final'!$Q$40),"")</f>
        <v/>
      </c>
      <c r="AD51" s="44" t="str">
        <f>IF(AND('Mapa final'!$AA$41="Muy Baja",'Mapa final'!$AC$41="Mayor"),CONCATENATE("R6C",'Mapa final'!$Q$41),"")</f>
        <v/>
      </c>
      <c r="AE51" s="44" t="str">
        <f>IF(AND('Mapa final'!$AA$42="Muy Baja",'Mapa final'!$AC$42="Mayor"),CONCATENATE("R6C",'Mapa final'!$Q$42),"")</f>
        <v/>
      </c>
      <c r="AF51" s="44" t="str">
        <f>IF(AND('Mapa final'!$AA$43="Muy Baja",'Mapa final'!$AC$43="Mayor"),CONCATENATE("R6C",'Mapa final'!$Q$43),"")</f>
        <v/>
      </c>
      <c r="AG51" s="40" t="str">
        <f>IF(AND('Mapa final'!$AA$44="Muy Baja",'Mapa final'!$AC$44="Mayor"),CONCATENATE("R6C",'Mapa final'!$Q$44),"")</f>
        <v/>
      </c>
      <c r="AH51" s="41" t="str">
        <f>IF(AND('Mapa final'!$AA$39="Muy Baja",'Mapa final'!$AC$39="Catastrófico"),CONCATENATE("R6C",'Mapa final'!$Q$39),"")</f>
        <v/>
      </c>
      <c r="AI51" s="42" t="str">
        <f>IF(AND('Mapa final'!$AA$40="Muy Baja",'Mapa final'!$AC$40="Catastrófico"),CONCATENATE("R6C",'Mapa final'!$Q$40),"")</f>
        <v/>
      </c>
      <c r="AJ51" s="42" t="str">
        <f>IF(AND('Mapa final'!$AA$41="Muy Baja",'Mapa final'!$AC$41="Catastrófico"),CONCATENATE("R6C",'Mapa final'!$Q$41),"")</f>
        <v/>
      </c>
      <c r="AK51" s="42" t="str">
        <f>IF(AND('Mapa final'!$AA$42="Muy Baja",'Mapa final'!$AC$42="Catastrófico"),CONCATENATE("R6C",'Mapa final'!$Q$42),"")</f>
        <v/>
      </c>
      <c r="AL51" s="42" t="str">
        <f>IF(AND('Mapa final'!$AA$43="Muy Baja",'Mapa final'!$AC$43="Catastrófico"),CONCATENATE("R6C",'Mapa final'!$Q$43),"")</f>
        <v/>
      </c>
      <c r="AM51" s="43" t="str">
        <f>IF(AND('Mapa final'!$AA$44="Muy Baja",'Mapa final'!$AC$44="Catastrófico"),CONCATENATE("R6C",'Mapa final'!$Q$44),"")</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41"/>
      <c r="C52" s="241"/>
      <c r="D52" s="242"/>
      <c r="E52" s="342"/>
      <c r="F52" s="343"/>
      <c r="G52" s="343"/>
      <c r="H52" s="343"/>
      <c r="I52" s="358"/>
      <c r="J52" s="63" t="str">
        <f>IF(AND('Mapa final'!$AA$45="Muy Baja",'Mapa final'!$AC$45="Leve"),CONCATENATE("R7C",'Mapa final'!$Q$45),"")</f>
        <v/>
      </c>
      <c r="K52" s="64" t="str">
        <f>IF(AND('Mapa final'!$AA$46="Muy Baja",'Mapa final'!$AC$46="Leve"),CONCATENATE("R7C",'Mapa final'!$Q$46),"")</f>
        <v/>
      </c>
      <c r="L52" s="64" t="str">
        <f>IF(AND('Mapa final'!$AA$47="Muy Baja",'Mapa final'!$AC$47="Leve"),CONCATENATE("R7C",'Mapa final'!$Q$47),"")</f>
        <v/>
      </c>
      <c r="M52" s="64" t="str">
        <f>IF(AND('Mapa final'!$AA$48="Muy Baja",'Mapa final'!$AC$48="Leve"),CONCATENATE("R7C",'Mapa final'!$Q$48),"")</f>
        <v/>
      </c>
      <c r="N52" s="64" t="str">
        <f>IF(AND('Mapa final'!$AA$49="Muy Baja",'Mapa final'!$AC$49="Leve"),CONCATENATE("R7C",'Mapa final'!$Q$49),"")</f>
        <v/>
      </c>
      <c r="O52" s="65" t="str">
        <f>IF(AND('Mapa final'!$AA$50="Muy Baja",'Mapa final'!$AC$50="Leve"),CONCATENATE("R7C",'Mapa final'!$Q$50),"")</f>
        <v/>
      </c>
      <c r="P52" s="63" t="str">
        <f>IF(AND('Mapa final'!$AA$45="Muy Baja",'Mapa final'!$AC$45="Menor"),CONCATENATE("R7C",'Mapa final'!$Q$45),"")</f>
        <v/>
      </c>
      <c r="Q52" s="64" t="str">
        <f>IF(AND('Mapa final'!$AA$46="Muy Baja",'Mapa final'!$AC$46="Menor"),CONCATENATE("R7C",'Mapa final'!$Q$46),"")</f>
        <v/>
      </c>
      <c r="R52" s="64" t="str">
        <f>IF(AND('Mapa final'!$AA$47="Muy Baja",'Mapa final'!$AC$47="Menor"),CONCATENATE("R7C",'Mapa final'!$Q$47),"")</f>
        <v/>
      </c>
      <c r="S52" s="64" t="str">
        <f>IF(AND('Mapa final'!$AA$48="Muy Baja",'Mapa final'!$AC$48="Menor"),CONCATENATE("R7C",'Mapa final'!$Q$48),"")</f>
        <v/>
      </c>
      <c r="T52" s="64" t="str">
        <f>IF(AND('Mapa final'!$AA$49="Muy Baja",'Mapa final'!$AC$49="Menor"),CONCATENATE("R7C",'Mapa final'!$Q$49),"")</f>
        <v/>
      </c>
      <c r="U52" s="65" t="str">
        <f>IF(AND('Mapa final'!$AA$50="Muy Baja",'Mapa final'!$AC$50="Menor"),CONCATENATE("R7C",'Mapa final'!$Q$50),"")</f>
        <v/>
      </c>
      <c r="V52" s="54" t="str">
        <f>IF(AND('Mapa final'!$AA$45="Muy Baja",'Mapa final'!$AC$45="Moderado"),CONCATENATE("R7C",'Mapa final'!$Q$45),"")</f>
        <v/>
      </c>
      <c r="W52" s="55" t="str">
        <f>IF(AND('Mapa final'!$AA$46="Muy Baja",'Mapa final'!$AC$46="Moderado"),CONCATENATE("R7C",'Mapa final'!$Q$46),"")</f>
        <v/>
      </c>
      <c r="X52" s="55" t="str">
        <f>IF(AND('Mapa final'!$AA$47="Muy Baja",'Mapa final'!$AC$47="Moderado"),CONCATENATE("R7C",'Mapa final'!$Q$47),"")</f>
        <v/>
      </c>
      <c r="Y52" s="55" t="str">
        <f>IF(AND('Mapa final'!$AA$48="Muy Baja",'Mapa final'!$AC$48="Moderado"),CONCATENATE("R7C",'Mapa final'!$Q$48),"")</f>
        <v/>
      </c>
      <c r="Z52" s="55" t="str">
        <f>IF(AND('Mapa final'!$AA$49="Muy Baja",'Mapa final'!$AC$49="Moderado"),CONCATENATE("R7C",'Mapa final'!$Q$49),"")</f>
        <v/>
      </c>
      <c r="AA52" s="56" t="str">
        <f>IF(AND('Mapa final'!$AA$50="Muy Baja",'Mapa final'!$AC$50="Moderado"),CONCATENATE("R7C",'Mapa final'!$Q$50),"")</f>
        <v/>
      </c>
      <c r="AB52" s="38" t="str">
        <f>IF(AND('Mapa final'!$AA$45="Muy Baja",'Mapa final'!$AC$45="Mayor"),CONCATENATE("R7C",'Mapa final'!$Q$45),"")</f>
        <v/>
      </c>
      <c r="AC52" s="39" t="str">
        <f>IF(AND('Mapa final'!$AA$46="Muy Baja",'Mapa final'!$AC$46="Mayor"),CONCATENATE("R7C",'Mapa final'!$Q$46),"")</f>
        <v/>
      </c>
      <c r="AD52" s="44" t="str">
        <f>IF(AND('Mapa final'!$AA$47="Muy Baja",'Mapa final'!$AC$47="Mayor"),CONCATENATE("R7C",'Mapa final'!$Q$47),"")</f>
        <v/>
      </c>
      <c r="AE52" s="44" t="str">
        <f>IF(AND('Mapa final'!$AA$48="Muy Baja",'Mapa final'!$AC$48="Mayor"),CONCATENATE("R7C",'Mapa final'!$Q$48),"")</f>
        <v/>
      </c>
      <c r="AF52" s="44" t="str">
        <f>IF(AND('Mapa final'!$AA$49="Muy Baja",'Mapa final'!$AC$49="Mayor"),CONCATENATE("R7C",'Mapa final'!$Q$49),"")</f>
        <v/>
      </c>
      <c r="AG52" s="40" t="str">
        <f>IF(AND('Mapa final'!$AA$50="Muy Baja",'Mapa final'!$AC$50="Mayor"),CONCATENATE("R7C",'Mapa final'!$Q$50),"")</f>
        <v/>
      </c>
      <c r="AH52" s="41" t="str">
        <f>IF(AND('Mapa final'!$AA$45="Muy Baja",'Mapa final'!$AC$45="Catastrófico"),CONCATENATE("R7C",'Mapa final'!$Q$45),"")</f>
        <v/>
      </c>
      <c r="AI52" s="42" t="str">
        <f>IF(AND('Mapa final'!$AA$46="Muy Baja",'Mapa final'!$AC$46="Catastrófico"),CONCATENATE("R7C",'Mapa final'!$Q$46),"")</f>
        <v/>
      </c>
      <c r="AJ52" s="42" t="str">
        <f>IF(AND('Mapa final'!$AA$47="Muy Baja",'Mapa final'!$AC$47="Catastrófico"),CONCATENATE("R7C",'Mapa final'!$Q$47),"")</f>
        <v/>
      </c>
      <c r="AK52" s="42" t="str">
        <f>IF(AND('Mapa final'!$AA$48="Muy Baja",'Mapa final'!$AC$48="Catastrófico"),CONCATENATE("R7C",'Mapa final'!$Q$48),"")</f>
        <v/>
      </c>
      <c r="AL52" s="42" t="str">
        <f>IF(AND('Mapa final'!$AA$49="Muy Baja",'Mapa final'!$AC$49="Catastrófico"),CONCATENATE("R7C",'Mapa final'!$Q$49),"")</f>
        <v/>
      </c>
      <c r="AM52" s="43" t="str">
        <f>IF(AND('Mapa final'!$AA$50="Muy Baja",'Mapa final'!$AC$50="Catastrófico"),CONCATENATE("R7C",'Mapa final'!$Q$50),"")</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41"/>
      <c r="C53" s="241"/>
      <c r="D53" s="242"/>
      <c r="E53" s="342"/>
      <c r="F53" s="343"/>
      <c r="G53" s="343"/>
      <c r="H53" s="343"/>
      <c r="I53" s="358"/>
      <c r="J53" s="63" t="str">
        <f>IF(AND('Mapa final'!$AA$51="Muy Baja",'Mapa final'!$AC$51="Leve"),CONCATENATE("R8C",'Mapa final'!$Q$51),"")</f>
        <v/>
      </c>
      <c r="K53" s="64" t="str">
        <f>IF(AND('Mapa final'!$AA$52="Muy Baja",'Mapa final'!$AC$52="Leve"),CONCATENATE("R8C",'Mapa final'!$Q$52),"")</f>
        <v/>
      </c>
      <c r="L53" s="64" t="str">
        <f>IF(AND('Mapa final'!$AA$53="Muy Baja",'Mapa final'!$AC$53="Leve"),CONCATENATE("R8C",'Mapa final'!$Q$53),"")</f>
        <v/>
      </c>
      <c r="M53" s="64" t="str">
        <f>IF(AND('Mapa final'!$AA$54="Muy Baja",'Mapa final'!$AC$54="Leve"),CONCATENATE("R8C",'Mapa final'!$Q$54),"")</f>
        <v/>
      </c>
      <c r="N53" s="64" t="str">
        <f>IF(AND('Mapa final'!$AA$55="Muy Baja",'Mapa final'!$AC$55="Leve"),CONCATENATE("R8C",'Mapa final'!$Q$55),"")</f>
        <v/>
      </c>
      <c r="O53" s="65" t="str">
        <f>IF(AND('Mapa final'!$AA$56="Muy Baja",'Mapa final'!$AC$56="Leve"),CONCATENATE("R8C",'Mapa final'!$Q$56),"")</f>
        <v/>
      </c>
      <c r="P53" s="63" t="str">
        <f>IF(AND('Mapa final'!$AA$51="Muy Baja",'Mapa final'!$AC$51="Menor"),CONCATENATE("R8C",'Mapa final'!$Q$51),"")</f>
        <v/>
      </c>
      <c r="Q53" s="64" t="str">
        <f>IF(AND('Mapa final'!$AA$52="Muy Baja",'Mapa final'!$AC$52="Menor"),CONCATENATE("R8C",'Mapa final'!$Q$52),"")</f>
        <v/>
      </c>
      <c r="R53" s="64" t="str">
        <f>IF(AND('Mapa final'!$AA$53="Muy Baja",'Mapa final'!$AC$53="Menor"),CONCATENATE("R8C",'Mapa final'!$Q$53),"")</f>
        <v/>
      </c>
      <c r="S53" s="64" t="str">
        <f>IF(AND('Mapa final'!$AA$54="Muy Baja",'Mapa final'!$AC$54="Menor"),CONCATENATE("R8C",'Mapa final'!$Q$54),"")</f>
        <v/>
      </c>
      <c r="T53" s="64" t="str">
        <f>IF(AND('Mapa final'!$AA$55="Muy Baja",'Mapa final'!$AC$55="Menor"),CONCATENATE("R8C",'Mapa final'!$Q$55),"")</f>
        <v/>
      </c>
      <c r="U53" s="65" t="str">
        <f>IF(AND('Mapa final'!$AA$56="Muy Baja",'Mapa final'!$AC$56="Menor"),CONCATENATE("R8C",'Mapa final'!$Q$56),"")</f>
        <v/>
      </c>
      <c r="V53" s="54" t="str">
        <f>IF(AND('Mapa final'!$AA$51="Muy Baja",'Mapa final'!$AC$51="Moderado"),CONCATENATE("R8C",'Mapa final'!$Q$51),"")</f>
        <v/>
      </c>
      <c r="W53" s="55" t="str">
        <f>IF(AND('Mapa final'!$AA$52="Muy Baja",'Mapa final'!$AC$52="Moderado"),CONCATENATE("R8C",'Mapa final'!$Q$52),"")</f>
        <v/>
      </c>
      <c r="X53" s="55" t="str">
        <f>IF(AND('Mapa final'!$AA$53="Muy Baja",'Mapa final'!$AC$53="Moderado"),CONCATENATE("R8C",'Mapa final'!$Q$53),"")</f>
        <v/>
      </c>
      <c r="Y53" s="55" t="str">
        <f>IF(AND('Mapa final'!$AA$54="Muy Baja",'Mapa final'!$AC$54="Moderado"),CONCATENATE("R8C",'Mapa final'!$Q$54),"")</f>
        <v/>
      </c>
      <c r="Z53" s="55" t="str">
        <f>IF(AND('Mapa final'!$AA$55="Muy Baja",'Mapa final'!$AC$55="Moderado"),CONCATENATE("R8C",'Mapa final'!$Q$55),"")</f>
        <v/>
      </c>
      <c r="AA53" s="56" t="str">
        <f>IF(AND('Mapa final'!$AA$56="Muy Baja",'Mapa final'!$AC$56="Moderado"),CONCATENATE("R8C",'Mapa final'!$Q$56),"")</f>
        <v/>
      </c>
      <c r="AB53" s="38" t="str">
        <f>IF(AND('Mapa final'!$AA$51="Muy Baja",'Mapa final'!$AC$51="Mayor"),CONCATENATE("R8C",'Mapa final'!$Q$51),"")</f>
        <v/>
      </c>
      <c r="AC53" s="39" t="str">
        <f>IF(AND('Mapa final'!$AA$52="Muy Baja",'Mapa final'!$AC$52="Mayor"),CONCATENATE("R8C",'Mapa final'!$Q$52),"")</f>
        <v/>
      </c>
      <c r="AD53" s="44" t="str">
        <f>IF(AND('Mapa final'!$AA$53="Muy Baja",'Mapa final'!$AC$53="Mayor"),CONCATENATE("R8C",'Mapa final'!$Q$53),"")</f>
        <v/>
      </c>
      <c r="AE53" s="44" t="str">
        <f>IF(AND('Mapa final'!$AA$54="Muy Baja",'Mapa final'!$AC$54="Mayor"),CONCATENATE("R8C",'Mapa final'!$Q$54),"")</f>
        <v/>
      </c>
      <c r="AF53" s="44" t="str">
        <f>IF(AND('Mapa final'!$AA$55="Muy Baja",'Mapa final'!$AC$55="Mayor"),CONCATENATE("R8C",'Mapa final'!$Q$55),"")</f>
        <v/>
      </c>
      <c r="AG53" s="40" t="str">
        <f>IF(AND('Mapa final'!$AA$56="Muy Baja",'Mapa final'!$AC$56="Mayor"),CONCATENATE("R8C",'Mapa final'!$Q$56),"")</f>
        <v/>
      </c>
      <c r="AH53" s="41" t="str">
        <f>IF(AND('Mapa final'!$AA$51="Muy Baja",'Mapa final'!$AC$51="Catastrófico"),CONCATENATE("R8C",'Mapa final'!$Q$51),"")</f>
        <v/>
      </c>
      <c r="AI53" s="42" t="str">
        <f>IF(AND('Mapa final'!$AA$52="Muy Baja",'Mapa final'!$AC$52="Catastrófico"),CONCATENATE("R8C",'Mapa final'!$Q$52),"")</f>
        <v/>
      </c>
      <c r="AJ53" s="42" t="str">
        <f>IF(AND('Mapa final'!$AA$53="Muy Baja",'Mapa final'!$AC$53="Catastrófico"),CONCATENATE("R8C",'Mapa final'!$Q$53),"")</f>
        <v/>
      </c>
      <c r="AK53" s="42" t="str">
        <f>IF(AND('Mapa final'!$AA$54="Muy Baja",'Mapa final'!$AC$54="Catastrófico"),CONCATENATE("R8C",'Mapa final'!$Q$54),"")</f>
        <v/>
      </c>
      <c r="AL53" s="42" t="str">
        <f>IF(AND('Mapa final'!$AA$55="Muy Baja",'Mapa final'!$AC$55="Catastrófico"),CONCATENATE("R8C",'Mapa final'!$Q$55),"")</f>
        <v/>
      </c>
      <c r="AM53" s="43" t="str">
        <f>IF(AND('Mapa final'!$AA$56="Muy Baja",'Mapa final'!$AC$56="Catastrófico"),CONCATENATE("R8C",'Mapa final'!$Q$56),"")</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41"/>
      <c r="C54" s="241"/>
      <c r="D54" s="242"/>
      <c r="E54" s="342"/>
      <c r="F54" s="343"/>
      <c r="G54" s="343"/>
      <c r="H54" s="343"/>
      <c r="I54" s="358"/>
      <c r="J54" s="63" t="str">
        <f>IF(AND('Mapa final'!$AA$57="Muy Baja",'Mapa final'!$AC$57="Leve"),CONCATENATE("R9C",'Mapa final'!$Q$57),"")</f>
        <v/>
      </c>
      <c r="K54" s="64" t="str">
        <f>IF(AND('Mapa final'!$AA$58="Muy Baja",'Mapa final'!$AC$58="Leve"),CONCATENATE("R9C",'Mapa final'!$Q$58),"")</f>
        <v/>
      </c>
      <c r="L54" s="64" t="str">
        <f>IF(AND('Mapa final'!$AA$59="Muy Baja",'Mapa final'!$AC$59="Leve"),CONCATENATE("R9C",'Mapa final'!$Q$59),"")</f>
        <v/>
      </c>
      <c r="M54" s="64" t="str">
        <f>IF(AND('Mapa final'!$AA$60="Muy Baja",'Mapa final'!$AC$60="Leve"),CONCATENATE("R9C",'Mapa final'!$Q$60),"")</f>
        <v/>
      </c>
      <c r="N54" s="64" t="str">
        <f>IF(AND('Mapa final'!$AA$61="Muy Baja",'Mapa final'!$AC$61="Leve"),CONCATENATE("R9C",'Mapa final'!$Q$61),"")</f>
        <v/>
      </c>
      <c r="O54" s="65" t="str">
        <f>IF(AND('Mapa final'!$AA$62="Muy Baja",'Mapa final'!$AC$62="Leve"),CONCATENATE("R9C",'Mapa final'!$Q$62),"")</f>
        <v/>
      </c>
      <c r="P54" s="63" t="str">
        <f>IF(AND('Mapa final'!$AA$57="Muy Baja",'Mapa final'!$AC$57="Menor"),CONCATENATE("R9C",'Mapa final'!$Q$57),"")</f>
        <v/>
      </c>
      <c r="Q54" s="64" t="str">
        <f>IF(AND('Mapa final'!$AA$58="Muy Baja",'Mapa final'!$AC$58="Menor"),CONCATENATE("R9C",'Mapa final'!$Q$58),"")</f>
        <v/>
      </c>
      <c r="R54" s="64" t="str">
        <f>IF(AND('Mapa final'!$AA$59="Muy Baja",'Mapa final'!$AC$59="Menor"),CONCATENATE("R9C",'Mapa final'!$Q$59),"")</f>
        <v/>
      </c>
      <c r="S54" s="64" t="str">
        <f>IF(AND('Mapa final'!$AA$60="Muy Baja",'Mapa final'!$AC$60="Menor"),CONCATENATE("R9C",'Mapa final'!$Q$60),"")</f>
        <v/>
      </c>
      <c r="T54" s="64" t="str">
        <f>IF(AND('Mapa final'!$AA$61="Muy Baja",'Mapa final'!$AC$61="Menor"),CONCATENATE("R9C",'Mapa final'!$Q$61),"")</f>
        <v/>
      </c>
      <c r="U54" s="65" t="str">
        <f>IF(AND('Mapa final'!$AA$62="Muy Baja",'Mapa final'!$AC$62="Menor"),CONCATENATE("R9C",'Mapa final'!$Q$62),"")</f>
        <v/>
      </c>
      <c r="V54" s="54" t="str">
        <f>IF(AND('Mapa final'!$AA$57="Muy Baja",'Mapa final'!$AC$57="Moderado"),CONCATENATE("R9C",'Mapa final'!$Q$57),"")</f>
        <v/>
      </c>
      <c r="W54" s="55" t="str">
        <f>IF(AND('Mapa final'!$AA$58="Muy Baja",'Mapa final'!$AC$58="Moderado"),CONCATENATE("R9C",'Mapa final'!$Q$58),"")</f>
        <v/>
      </c>
      <c r="X54" s="55" t="str">
        <f>IF(AND('Mapa final'!$AA$59="Muy Baja",'Mapa final'!$AC$59="Moderado"),CONCATENATE("R9C",'Mapa final'!$Q$59),"")</f>
        <v/>
      </c>
      <c r="Y54" s="55" t="str">
        <f>IF(AND('Mapa final'!$AA$60="Muy Baja",'Mapa final'!$AC$60="Moderado"),CONCATENATE("R9C",'Mapa final'!$Q$60),"")</f>
        <v/>
      </c>
      <c r="Z54" s="55" t="str">
        <f>IF(AND('Mapa final'!$AA$61="Muy Baja",'Mapa final'!$AC$61="Moderado"),CONCATENATE("R9C",'Mapa final'!$Q$61),"")</f>
        <v/>
      </c>
      <c r="AA54" s="56" t="str">
        <f>IF(AND('Mapa final'!$AA$62="Muy Baja",'Mapa final'!$AC$62="Moderado"),CONCATENATE("R9C",'Mapa final'!$Q$62),"")</f>
        <v/>
      </c>
      <c r="AB54" s="38" t="str">
        <f>IF(AND('Mapa final'!$AA$57="Muy Baja",'Mapa final'!$AC$57="Mayor"),CONCATENATE("R9C",'Mapa final'!$Q$57),"")</f>
        <v/>
      </c>
      <c r="AC54" s="39" t="str">
        <f>IF(AND('Mapa final'!$AA$58="Muy Baja",'Mapa final'!$AC$58="Mayor"),CONCATENATE("R9C",'Mapa final'!$Q$58),"")</f>
        <v/>
      </c>
      <c r="AD54" s="44" t="str">
        <f>IF(AND('Mapa final'!$AA$59="Muy Baja",'Mapa final'!$AC$59="Mayor"),CONCATENATE("R9C",'Mapa final'!$Q$59),"")</f>
        <v/>
      </c>
      <c r="AE54" s="44" t="str">
        <f>IF(AND('Mapa final'!$AA$60="Muy Baja",'Mapa final'!$AC$60="Mayor"),CONCATENATE("R9C",'Mapa final'!$Q$60),"")</f>
        <v/>
      </c>
      <c r="AF54" s="44" t="str">
        <f>IF(AND('Mapa final'!$AA$61="Muy Baja",'Mapa final'!$AC$61="Mayor"),CONCATENATE("R9C",'Mapa final'!$Q$61),"")</f>
        <v/>
      </c>
      <c r="AG54" s="40" t="str">
        <f>IF(AND('Mapa final'!$AA$62="Muy Baja",'Mapa final'!$AC$62="Mayor"),CONCATENATE("R9C",'Mapa final'!$Q$62),"")</f>
        <v/>
      </c>
      <c r="AH54" s="41" t="str">
        <f>IF(AND('Mapa final'!$AA$57="Muy Baja",'Mapa final'!$AC$57="Catastrófico"),CONCATENATE("R9C",'Mapa final'!$Q$57),"")</f>
        <v/>
      </c>
      <c r="AI54" s="42" t="str">
        <f>IF(AND('Mapa final'!$AA$58="Muy Baja",'Mapa final'!$AC$58="Catastrófico"),CONCATENATE("R9C",'Mapa final'!$Q$58),"")</f>
        <v/>
      </c>
      <c r="AJ54" s="42" t="str">
        <f>IF(AND('Mapa final'!$AA$59="Muy Baja",'Mapa final'!$AC$59="Catastrófico"),CONCATENATE("R9C",'Mapa final'!$Q$59),"")</f>
        <v/>
      </c>
      <c r="AK54" s="42" t="str">
        <f>IF(AND('Mapa final'!$AA$60="Muy Baja",'Mapa final'!$AC$60="Catastrófico"),CONCATENATE("R9C",'Mapa final'!$Q$60),"")</f>
        <v/>
      </c>
      <c r="AL54" s="42" t="str">
        <f>IF(AND('Mapa final'!$AA$61="Muy Baja",'Mapa final'!$AC$61="Catastrófico"),CONCATENATE("R9C",'Mapa final'!$Q$61),"")</f>
        <v/>
      </c>
      <c r="AM54" s="43" t="str">
        <f>IF(AND('Mapa final'!$AA$62="Muy Baja",'Mapa final'!$AC$62="Catastrófico"),CONCATENATE("R9C",'Mapa final'!$Q$62),"")</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41"/>
      <c r="C55" s="241"/>
      <c r="D55" s="242"/>
      <c r="E55" s="344"/>
      <c r="F55" s="345"/>
      <c r="G55" s="345"/>
      <c r="H55" s="345"/>
      <c r="I55" s="359"/>
      <c r="J55" s="66" t="str">
        <f>IF(AND('Mapa final'!$AA$63="Muy Baja",'Mapa final'!$AC$63="Leve"),CONCATENATE("R10C",'Mapa final'!$Q$63),"")</f>
        <v/>
      </c>
      <c r="K55" s="67" t="str">
        <f>IF(AND('Mapa final'!$AA$64="Muy Baja",'Mapa final'!$AC$64="Leve"),CONCATENATE("R10C",'Mapa final'!$Q$64),"")</f>
        <v/>
      </c>
      <c r="L55" s="67" t="str">
        <f>IF(AND('Mapa final'!$AA$65="Muy Baja",'Mapa final'!$AC$65="Leve"),CONCATENATE("R10C",'Mapa final'!$Q$65),"")</f>
        <v/>
      </c>
      <c r="M55" s="67" t="str">
        <f>IF(AND('Mapa final'!$AA$66="Muy Baja",'Mapa final'!$AC$66="Leve"),CONCATENATE("R10C",'Mapa final'!$Q$66),"")</f>
        <v/>
      </c>
      <c r="N55" s="67" t="str">
        <f>IF(AND('Mapa final'!$AA$67="Muy Baja",'Mapa final'!$AC$67="Leve"),CONCATENATE("R10C",'Mapa final'!$Q$67),"")</f>
        <v/>
      </c>
      <c r="O55" s="68" t="str">
        <f>IF(AND('Mapa final'!$AA$68="Muy Baja",'Mapa final'!$AC$68="Leve"),CONCATENATE("R10C",'Mapa final'!$Q$68),"")</f>
        <v/>
      </c>
      <c r="P55" s="66" t="str">
        <f>IF(AND('Mapa final'!$AA$63="Muy Baja",'Mapa final'!$AC$63="Menor"),CONCATENATE("R10C",'Mapa final'!$Q$63),"")</f>
        <v/>
      </c>
      <c r="Q55" s="67" t="str">
        <f>IF(AND('Mapa final'!$AA$64="Muy Baja",'Mapa final'!$AC$64="Menor"),CONCATENATE("R10C",'Mapa final'!$Q$64),"")</f>
        <v/>
      </c>
      <c r="R55" s="67" t="str">
        <f>IF(AND('Mapa final'!$AA$65="Muy Baja",'Mapa final'!$AC$65="Menor"),CONCATENATE("R10C",'Mapa final'!$Q$65),"")</f>
        <v/>
      </c>
      <c r="S55" s="67" t="str">
        <f>IF(AND('Mapa final'!$AA$66="Muy Baja",'Mapa final'!$AC$66="Menor"),CONCATENATE("R10C",'Mapa final'!$Q$66),"")</f>
        <v/>
      </c>
      <c r="T55" s="67" t="str">
        <f>IF(AND('Mapa final'!$AA$67="Muy Baja",'Mapa final'!$AC$67="Menor"),CONCATENATE("R10C",'Mapa final'!$Q$67),"")</f>
        <v/>
      </c>
      <c r="U55" s="68" t="str">
        <f>IF(AND('Mapa final'!$AA$68="Muy Baja",'Mapa final'!$AC$68="Menor"),CONCATENATE("R10C",'Mapa final'!$Q$68),"")</f>
        <v/>
      </c>
      <c r="V55" s="57" t="str">
        <f>IF(AND('Mapa final'!$AA$63="Muy Baja",'Mapa final'!$AC$63="Moderado"),CONCATENATE("R10C",'Mapa final'!$Q$63),"")</f>
        <v/>
      </c>
      <c r="W55" s="58" t="str">
        <f>IF(AND('Mapa final'!$AA$64="Muy Baja",'Mapa final'!$AC$64="Moderado"),CONCATENATE("R10C",'Mapa final'!$Q$64),"")</f>
        <v/>
      </c>
      <c r="X55" s="58" t="str">
        <f>IF(AND('Mapa final'!$AA$65="Muy Baja",'Mapa final'!$AC$65="Moderado"),CONCATENATE("R10C",'Mapa final'!$Q$65),"")</f>
        <v/>
      </c>
      <c r="Y55" s="58" t="str">
        <f>IF(AND('Mapa final'!$AA$66="Muy Baja",'Mapa final'!$AC$66="Moderado"),CONCATENATE("R10C",'Mapa final'!$Q$66),"")</f>
        <v/>
      </c>
      <c r="Z55" s="58" t="str">
        <f>IF(AND('Mapa final'!$AA$67="Muy Baja",'Mapa final'!$AC$67="Moderado"),CONCATENATE("R10C",'Mapa final'!$Q$67),"")</f>
        <v/>
      </c>
      <c r="AA55" s="59" t="str">
        <f>IF(AND('Mapa final'!$AA$68="Muy Baja",'Mapa final'!$AC$68="Moderado"),CONCATENATE("R10C",'Mapa final'!$Q$68),"")</f>
        <v/>
      </c>
      <c r="AB55" s="45" t="str">
        <f>IF(AND('Mapa final'!$AA$63="Muy Baja",'Mapa final'!$AC$63="Mayor"),CONCATENATE("R10C",'Mapa final'!$Q$63),"")</f>
        <v/>
      </c>
      <c r="AC55" s="46" t="str">
        <f>IF(AND('Mapa final'!$AA$64="Muy Baja",'Mapa final'!$AC$64="Mayor"),CONCATENATE("R10C",'Mapa final'!$Q$64),"")</f>
        <v/>
      </c>
      <c r="AD55" s="46" t="str">
        <f>IF(AND('Mapa final'!$AA$65="Muy Baja",'Mapa final'!$AC$65="Mayor"),CONCATENATE("R10C",'Mapa final'!$Q$65),"")</f>
        <v/>
      </c>
      <c r="AE55" s="46" t="str">
        <f>IF(AND('Mapa final'!$AA$66="Muy Baja",'Mapa final'!$AC$66="Mayor"),CONCATENATE("R10C",'Mapa final'!$Q$66),"")</f>
        <v/>
      </c>
      <c r="AF55" s="46" t="str">
        <f>IF(AND('Mapa final'!$AA$67="Muy Baja",'Mapa final'!$AC$67="Mayor"),CONCATENATE("R10C",'Mapa final'!$Q$67),"")</f>
        <v/>
      </c>
      <c r="AG55" s="47" t="str">
        <f>IF(AND('Mapa final'!$AA$68="Muy Baja",'Mapa final'!$AC$68="Mayor"),CONCATENATE("R10C",'Mapa final'!$Q$68),"")</f>
        <v/>
      </c>
      <c r="AH55" s="48" t="str">
        <f>IF(AND('Mapa final'!$AA$63="Muy Baja",'Mapa final'!$AC$63="Catastrófico"),CONCATENATE("R10C",'Mapa final'!$Q$63),"")</f>
        <v/>
      </c>
      <c r="AI55" s="49" t="str">
        <f>IF(AND('Mapa final'!$AA$64="Muy Baja",'Mapa final'!$AC$64="Catastrófico"),CONCATENATE("R10C",'Mapa final'!$Q$64),"")</f>
        <v/>
      </c>
      <c r="AJ55" s="49" t="str">
        <f>IF(AND('Mapa final'!$AA$65="Muy Baja",'Mapa final'!$AC$65="Catastrófico"),CONCATENATE("R10C",'Mapa final'!$Q$65),"")</f>
        <v/>
      </c>
      <c r="AK55" s="49" t="str">
        <f>IF(AND('Mapa final'!$AA$66="Muy Baja",'Mapa final'!$AC$66="Catastrófico"),CONCATENATE("R10C",'Mapa final'!$Q$66),"")</f>
        <v/>
      </c>
      <c r="AL55" s="49" t="str">
        <f>IF(AND('Mapa final'!$AA$67="Muy Baja",'Mapa final'!$AC$67="Catastrófico"),CONCATENATE("R10C",'Mapa final'!$Q$67),"")</f>
        <v/>
      </c>
      <c r="AM55" s="50" t="str">
        <f>IF(AND('Mapa final'!$AA$68="Muy Baja",'Mapa final'!$AC$68="Catastrófico"),CONCATENATE("R10C",'Mapa final'!$Q$68),"")</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38" t="s">
        <v>108</v>
      </c>
      <c r="K56" s="339"/>
      <c r="L56" s="339"/>
      <c r="M56" s="339"/>
      <c r="N56" s="339"/>
      <c r="O56" s="357"/>
      <c r="P56" s="338" t="s">
        <v>107</v>
      </c>
      <c r="Q56" s="339"/>
      <c r="R56" s="339"/>
      <c r="S56" s="339"/>
      <c r="T56" s="339"/>
      <c r="U56" s="357"/>
      <c r="V56" s="338" t="s">
        <v>106</v>
      </c>
      <c r="W56" s="339"/>
      <c r="X56" s="339"/>
      <c r="Y56" s="339"/>
      <c r="Z56" s="339"/>
      <c r="AA56" s="357"/>
      <c r="AB56" s="338" t="s">
        <v>105</v>
      </c>
      <c r="AC56" s="378"/>
      <c r="AD56" s="339"/>
      <c r="AE56" s="339"/>
      <c r="AF56" s="339"/>
      <c r="AG56" s="357"/>
      <c r="AH56" s="338" t="s">
        <v>104</v>
      </c>
      <c r="AI56" s="339"/>
      <c r="AJ56" s="339"/>
      <c r="AK56" s="339"/>
      <c r="AL56" s="339"/>
      <c r="AM56" s="357"/>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42"/>
      <c r="K57" s="343"/>
      <c r="L57" s="343"/>
      <c r="M57" s="343"/>
      <c r="N57" s="343"/>
      <c r="O57" s="358"/>
      <c r="P57" s="342"/>
      <c r="Q57" s="343"/>
      <c r="R57" s="343"/>
      <c r="S57" s="343"/>
      <c r="T57" s="343"/>
      <c r="U57" s="358"/>
      <c r="V57" s="342"/>
      <c r="W57" s="343"/>
      <c r="X57" s="343"/>
      <c r="Y57" s="343"/>
      <c r="Z57" s="343"/>
      <c r="AA57" s="358"/>
      <c r="AB57" s="342"/>
      <c r="AC57" s="343"/>
      <c r="AD57" s="343"/>
      <c r="AE57" s="343"/>
      <c r="AF57" s="343"/>
      <c r="AG57" s="358"/>
      <c r="AH57" s="342"/>
      <c r="AI57" s="343"/>
      <c r="AJ57" s="343"/>
      <c r="AK57" s="343"/>
      <c r="AL57" s="343"/>
      <c r="AM57" s="358"/>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42"/>
      <c r="K58" s="343"/>
      <c r="L58" s="343"/>
      <c r="M58" s="343"/>
      <c r="N58" s="343"/>
      <c r="O58" s="358"/>
      <c r="P58" s="342"/>
      <c r="Q58" s="343"/>
      <c r="R58" s="343"/>
      <c r="S58" s="343"/>
      <c r="T58" s="343"/>
      <c r="U58" s="358"/>
      <c r="V58" s="342"/>
      <c r="W58" s="343"/>
      <c r="X58" s="343"/>
      <c r="Y58" s="343"/>
      <c r="Z58" s="343"/>
      <c r="AA58" s="358"/>
      <c r="AB58" s="342"/>
      <c r="AC58" s="343"/>
      <c r="AD58" s="343"/>
      <c r="AE58" s="343"/>
      <c r="AF58" s="343"/>
      <c r="AG58" s="358"/>
      <c r="AH58" s="342"/>
      <c r="AI58" s="343"/>
      <c r="AJ58" s="343"/>
      <c r="AK58" s="343"/>
      <c r="AL58" s="343"/>
      <c r="AM58" s="358"/>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42"/>
      <c r="K59" s="343"/>
      <c r="L59" s="343"/>
      <c r="M59" s="343"/>
      <c r="N59" s="343"/>
      <c r="O59" s="358"/>
      <c r="P59" s="342"/>
      <c r="Q59" s="343"/>
      <c r="R59" s="343"/>
      <c r="S59" s="343"/>
      <c r="T59" s="343"/>
      <c r="U59" s="358"/>
      <c r="V59" s="342"/>
      <c r="W59" s="343"/>
      <c r="X59" s="343"/>
      <c r="Y59" s="343"/>
      <c r="Z59" s="343"/>
      <c r="AA59" s="358"/>
      <c r="AB59" s="342"/>
      <c r="AC59" s="343"/>
      <c r="AD59" s="343"/>
      <c r="AE59" s="343"/>
      <c r="AF59" s="343"/>
      <c r="AG59" s="358"/>
      <c r="AH59" s="342"/>
      <c r="AI59" s="343"/>
      <c r="AJ59" s="343"/>
      <c r="AK59" s="343"/>
      <c r="AL59" s="343"/>
      <c r="AM59" s="358"/>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42"/>
      <c r="K60" s="343"/>
      <c r="L60" s="343"/>
      <c r="M60" s="343"/>
      <c r="N60" s="343"/>
      <c r="O60" s="358"/>
      <c r="P60" s="342"/>
      <c r="Q60" s="343"/>
      <c r="R60" s="343"/>
      <c r="S60" s="343"/>
      <c r="T60" s="343"/>
      <c r="U60" s="358"/>
      <c r="V60" s="342"/>
      <c r="W60" s="343"/>
      <c r="X60" s="343"/>
      <c r="Y60" s="343"/>
      <c r="Z60" s="343"/>
      <c r="AA60" s="358"/>
      <c r="AB60" s="342"/>
      <c r="AC60" s="343"/>
      <c r="AD60" s="343"/>
      <c r="AE60" s="343"/>
      <c r="AF60" s="343"/>
      <c r="AG60" s="358"/>
      <c r="AH60" s="342"/>
      <c r="AI60" s="343"/>
      <c r="AJ60" s="343"/>
      <c r="AK60" s="343"/>
      <c r="AL60" s="343"/>
      <c r="AM60" s="358"/>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44"/>
      <c r="K61" s="345"/>
      <c r="L61" s="345"/>
      <c r="M61" s="345"/>
      <c r="N61" s="345"/>
      <c r="O61" s="359"/>
      <c r="P61" s="344"/>
      <c r="Q61" s="345"/>
      <c r="R61" s="345"/>
      <c r="S61" s="345"/>
      <c r="T61" s="345"/>
      <c r="U61" s="359"/>
      <c r="V61" s="344"/>
      <c r="W61" s="345"/>
      <c r="X61" s="345"/>
      <c r="Y61" s="345"/>
      <c r="Z61" s="345"/>
      <c r="AA61" s="359"/>
      <c r="AB61" s="344"/>
      <c r="AC61" s="345"/>
      <c r="AD61" s="345"/>
      <c r="AE61" s="345"/>
      <c r="AF61" s="345"/>
      <c r="AG61" s="359"/>
      <c r="AH61" s="344"/>
      <c r="AI61" s="345"/>
      <c r="AJ61" s="345"/>
      <c r="AK61" s="345"/>
      <c r="AL61" s="345"/>
      <c r="AM61" s="359"/>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79" t="s">
        <v>51</v>
      </c>
      <c r="C1" s="379"/>
      <c r="D1" s="379"/>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48</v>
      </c>
      <c r="D3" s="4" t="s">
        <v>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47</v>
      </c>
      <c r="C4" s="6" t="s">
        <v>98</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49</v>
      </c>
      <c r="C5" s="9" t="s">
        <v>99</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103</v>
      </c>
      <c r="C6" s="9" t="s">
        <v>100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5</v>
      </c>
      <c r="C7" s="9" t="s">
        <v>101</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50</v>
      </c>
      <c r="C8" s="9" t="s">
        <v>102</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2"/>
      <c r="C9" s="92"/>
      <c r="D9" s="9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3"/>
      <c r="C10" s="92"/>
      <c r="D10" s="9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2"/>
      <c r="C11" s="92"/>
      <c r="D11" s="9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2"/>
      <c r="C12" s="92"/>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2"/>
      <c r="C13" s="92"/>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2"/>
      <c r="C14" s="92"/>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2"/>
      <c r="C15" s="92"/>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2"/>
      <c r="C16" s="92"/>
      <c r="D16" s="92"/>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2"/>
      <c r="C17" s="92"/>
      <c r="D17" s="92"/>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2"/>
      <c r="C18" s="92"/>
      <c r="D18" s="9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232"/>
  <sheetViews>
    <sheetView zoomScale="40" zoomScaleNormal="40" workbookViewId="0">
      <selection activeCell="D4" sqref="D4"/>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80" t="s">
        <v>59</v>
      </c>
      <c r="C1" s="380"/>
      <c r="D1" s="380"/>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9"/>
      <c r="C3" s="22" t="s">
        <v>52</v>
      </c>
      <c r="D3" s="22" t="s">
        <v>53</v>
      </c>
      <c r="E3" s="70"/>
      <c r="F3" s="70"/>
      <c r="G3" s="70"/>
      <c r="H3" s="70"/>
      <c r="I3" s="70"/>
      <c r="J3" s="70"/>
      <c r="K3" s="70"/>
      <c r="L3" s="70"/>
      <c r="M3" s="70"/>
      <c r="N3" s="70"/>
      <c r="O3" s="70"/>
      <c r="P3" s="70"/>
      <c r="Q3" s="70"/>
      <c r="R3" s="70"/>
      <c r="S3" s="70"/>
      <c r="T3" s="70"/>
      <c r="U3" s="70"/>
    </row>
    <row r="4" spans="1:21" ht="33.75" x14ac:dyDescent="0.25">
      <c r="A4" s="88" t="s">
        <v>79</v>
      </c>
      <c r="B4" s="25" t="s">
        <v>97</v>
      </c>
      <c r="C4" s="30" t="s">
        <v>151</v>
      </c>
      <c r="D4" s="23" t="s">
        <v>93</v>
      </c>
      <c r="E4" s="70"/>
      <c r="F4" s="70"/>
      <c r="G4" s="70"/>
      <c r="H4" s="70"/>
      <c r="I4" s="70"/>
      <c r="J4" s="70"/>
      <c r="K4" s="70"/>
      <c r="L4" s="70"/>
      <c r="M4" s="70"/>
      <c r="N4" s="70"/>
      <c r="O4" s="70"/>
      <c r="P4" s="70"/>
      <c r="Q4" s="70"/>
      <c r="R4" s="70"/>
      <c r="S4" s="70"/>
      <c r="T4" s="70"/>
      <c r="U4" s="70"/>
    </row>
    <row r="5" spans="1:21" ht="67.5" x14ac:dyDescent="0.25">
      <c r="A5" s="88" t="s">
        <v>80</v>
      </c>
      <c r="B5" s="26" t="s">
        <v>55</v>
      </c>
      <c r="C5" s="31" t="s">
        <v>89</v>
      </c>
      <c r="D5" s="24" t="s">
        <v>94</v>
      </c>
      <c r="E5" s="70"/>
      <c r="F5" s="70"/>
      <c r="G5" s="70"/>
      <c r="H5" s="70"/>
      <c r="I5" s="70"/>
      <c r="J5" s="70"/>
      <c r="K5" s="70"/>
      <c r="L5" s="70"/>
      <c r="M5" s="70"/>
      <c r="N5" s="70"/>
      <c r="O5" s="70"/>
      <c r="P5" s="70"/>
      <c r="Q5" s="70"/>
      <c r="R5" s="70"/>
      <c r="S5" s="70"/>
      <c r="T5" s="70"/>
      <c r="U5" s="70"/>
    </row>
    <row r="6" spans="1:21" ht="67.5" x14ac:dyDescent="0.25">
      <c r="A6" s="88" t="s">
        <v>77</v>
      </c>
      <c r="B6" s="27" t="s">
        <v>56</v>
      </c>
      <c r="C6" s="31" t="s">
        <v>90</v>
      </c>
      <c r="D6" s="24" t="s">
        <v>96</v>
      </c>
      <c r="E6" s="70"/>
      <c r="F6" s="70"/>
      <c r="G6" s="70"/>
      <c r="H6" s="70"/>
      <c r="I6" s="70"/>
      <c r="J6" s="70"/>
      <c r="K6" s="70"/>
      <c r="L6" s="70"/>
      <c r="M6" s="70"/>
      <c r="N6" s="70"/>
      <c r="O6" s="70"/>
      <c r="P6" s="70"/>
      <c r="Q6" s="70"/>
      <c r="R6" s="70"/>
      <c r="S6" s="70"/>
      <c r="T6" s="70"/>
      <c r="U6" s="70"/>
    </row>
    <row r="7" spans="1:21" ht="101.25" x14ac:dyDescent="0.25">
      <c r="A7" s="88" t="s">
        <v>6</v>
      </c>
      <c r="B7" s="28" t="s">
        <v>57</v>
      </c>
      <c r="C7" s="31" t="s">
        <v>91</v>
      </c>
      <c r="D7" s="24" t="s">
        <v>95</v>
      </c>
      <c r="E7" s="70"/>
      <c r="F7" s="70"/>
      <c r="G7" s="70"/>
      <c r="H7" s="70"/>
      <c r="I7" s="70"/>
      <c r="J7" s="70"/>
      <c r="K7" s="70"/>
      <c r="L7" s="70"/>
      <c r="M7" s="70"/>
      <c r="N7" s="70"/>
      <c r="O7" s="70"/>
      <c r="P7" s="70"/>
      <c r="Q7" s="70"/>
      <c r="R7" s="70"/>
      <c r="S7" s="70"/>
      <c r="T7" s="70"/>
      <c r="U7" s="70"/>
    </row>
    <row r="8" spans="1:21" ht="67.5" x14ac:dyDescent="0.25">
      <c r="A8" s="88" t="s">
        <v>81</v>
      </c>
      <c r="B8" s="29" t="s">
        <v>58</v>
      </c>
      <c r="C8" s="31" t="s">
        <v>92</v>
      </c>
      <c r="D8" s="24" t="s">
        <v>114</v>
      </c>
      <c r="E8" s="70"/>
      <c r="F8" s="70"/>
      <c r="G8" s="70"/>
      <c r="H8" s="70"/>
      <c r="I8" s="70"/>
      <c r="J8" s="70"/>
      <c r="K8" s="70"/>
      <c r="L8" s="70"/>
      <c r="M8" s="70"/>
      <c r="N8" s="70"/>
      <c r="O8" s="70"/>
      <c r="P8" s="70"/>
      <c r="Q8" s="70"/>
      <c r="R8" s="70"/>
      <c r="S8" s="70"/>
      <c r="T8" s="70"/>
      <c r="U8" s="70"/>
    </row>
    <row r="9" spans="1:21" ht="20.25" x14ac:dyDescent="0.25">
      <c r="A9" s="88"/>
      <c r="B9" s="88"/>
      <c r="C9" s="90"/>
      <c r="D9" s="90"/>
      <c r="E9" s="70"/>
      <c r="F9" s="70"/>
      <c r="G9" s="70"/>
      <c r="H9" s="70"/>
      <c r="I9" s="70"/>
      <c r="J9" s="70"/>
      <c r="K9" s="70"/>
      <c r="L9" s="70"/>
      <c r="M9" s="70"/>
      <c r="N9" s="70"/>
      <c r="O9" s="70"/>
      <c r="P9" s="70"/>
      <c r="Q9" s="70"/>
      <c r="R9" s="70"/>
      <c r="S9" s="70"/>
      <c r="T9" s="70"/>
      <c r="U9" s="70"/>
    </row>
    <row r="10" spans="1:21" ht="16.5" x14ac:dyDescent="0.25">
      <c r="A10" s="88"/>
      <c r="B10" s="91"/>
      <c r="C10" s="91"/>
      <c r="D10" s="91"/>
      <c r="E10" s="70"/>
      <c r="F10" s="70"/>
      <c r="G10" s="70"/>
      <c r="H10" s="70"/>
      <c r="I10" s="70"/>
      <c r="J10" s="70"/>
      <c r="K10" s="70"/>
      <c r="L10" s="70"/>
      <c r="M10" s="70"/>
      <c r="N10" s="70"/>
      <c r="O10" s="70"/>
      <c r="P10" s="70"/>
      <c r="Q10" s="70"/>
      <c r="R10" s="70"/>
      <c r="S10" s="70"/>
      <c r="T10" s="70"/>
      <c r="U10" s="70"/>
    </row>
    <row r="11" spans="1:21" x14ac:dyDescent="0.25">
      <c r="A11" s="88"/>
      <c r="B11" s="88" t="s">
        <v>87</v>
      </c>
      <c r="C11" s="88" t="s">
        <v>139</v>
      </c>
      <c r="D11" s="88" t="s">
        <v>146</v>
      </c>
      <c r="E11" s="70"/>
      <c r="F11" s="70"/>
      <c r="G11" s="70"/>
      <c r="H11" s="70"/>
      <c r="I11" s="70"/>
      <c r="J11" s="70"/>
      <c r="K11" s="70"/>
      <c r="L11" s="70"/>
      <c r="M11" s="70"/>
      <c r="N11" s="70"/>
      <c r="O11" s="70"/>
      <c r="P11" s="70"/>
      <c r="Q11" s="70"/>
      <c r="R11" s="70"/>
      <c r="S11" s="70"/>
      <c r="T11" s="70"/>
      <c r="U11" s="70"/>
    </row>
    <row r="12" spans="1:21" x14ac:dyDescent="0.25">
      <c r="A12" s="88"/>
      <c r="B12" s="88" t="s">
        <v>85</v>
      </c>
      <c r="C12" s="88" t="s">
        <v>143</v>
      </c>
      <c r="D12" s="88" t="s">
        <v>147</v>
      </c>
      <c r="E12" s="70"/>
      <c r="F12" s="70"/>
      <c r="G12" s="70"/>
      <c r="H12" s="70"/>
      <c r="I12" s="70"/>
      <c r="J12" s="70"/>
      <c r="K12" s="70"/>
      <c r="L12" s="70"/>
      <c r="M12" s="70"/>
      <c r="N12" s="70"/>
      <c r="O12" s="70"/>
      <c r="P12" s="70"/>
      <c r="Q12" s="70"/>
      <c r="R12" s="70"/>
      <c r="S12" s="70"/>
      <c r="T12" s="70"/>
      <c r="U12" s="70"/>
    </row>
    <row r="13" spans="1:21" x14ac:dyDescent="0.25">
      <c r="A13" s="88"/>
      <c r="B13" s="88"/>
      <c r="C13" s="88" t="s">
        <v>142</v>
      </c>
      <c r="D13" s="88" t="s">
        <v>148</v>
      </c>
      <c r="E13" s="70"/>
      <c r="F13" s="70"/>
      <c r="G13" s="70"/>
      <c r="H13" s="70"/>
      <c r="I13" s="70"/>
      <c r="J13" s="70"/>
      <c r="K13" s="70"/>
      <c r="L13" s="70"/>
      <c r="M13" s="70"/>
      <c r="N13" s="70"/>
      <c r="O13" s="70"/>
      <c r="P13" s="70"/>
      <c r="Q13" s="70"/>
      <c r="R13" s="70"/>
      <c r="S13" s="70"/>
      <c r="T13" s="70"/>
      <c r="U13" s="70"/>
    </row>
    <row r="14" spans="1:21" x14ac:dyDescent="0.25">
      <c r="A14" s="88"/>
      <c r="B14" s="88"/>
      <c r="C14" s="88" t="s">
        <v>144</v>
      </c>
      <c r="D14" s="88" t="s">
        <v>149</v>
      </c>
      <c r="E14" s="70"/>
      <c r="F14" s="70"/>
      <c r="G14" s="70"/>
      <c r="H14" s="70"/>
      <c r="I14" s="70"/>
      <c r="J14" s="70"/>
      <c r="K14" s="70"/>
      <c r="L14" s="70"/>
      <c r="M14" s="70"/>
      <c r="N14" s="70"/>
      <c r="O14" s="70"/>
      <c r="P14" s="70"/>
      <c r="Q14" s="70"/>
      <c r="R14" s="70"/>
      <c r="S14" s="70"/>
      <c r="T14" s="70"/>
      <c r="U14" s="70"/>
    </row>
    <row r="15" spans="1:21" x14ac:dyDescent="0.25">
      <c r="A15" s="88"/>
      <c r="B15" s="88"/>
      <c r="C15" s="88" t="s">
        <v>145</v>
      </c>
      <c r="D15" s="88" t="s">
        <v>150</v>
      </c>
      <c r="E15" s="70"/>
      <c r="F15" s="70"/>
      <c r="G15" s="70"/>
      <c r="H15" s="70"/>
      <c r="I15" s="70"/>
      <c r="J15" s="70"/>
      <c r="K15" s="70"/>
      <c r="L15" s="70"/>
      <c r="M15" s="70"/>
      <c r="N15" s="70"/>
      <c r="O15" s="70"/>
      <c r="P15" s="70"/>
      <c r="Q15" s="70"/>
      <c r="R15" s="70"/>
      <c r="S15" s="70"/>
      <c r="T15" s="70"/>
      <c r="U15" s="70"/>
    </row>
    <row r="16" spans="1:21" x14ac:dyDescent="0.25">
      <c r="A16" s="88"/>
      <c r="B16" s="88"/>
      <c r="C16" s="88"/>
      <c r="D16" s="88"/>
      <c r="E16" s="70"/>
      <c r="F16" s="70"/>
      <c r="G16" s="70"/>
      <c r="H16" s="70"/>
      <c r="I16" s="70"/>
      <c r="J16" s="70"/>
      <c r="K16" s="70"/>
      <c r="L16" s="70"/>
      <c r="M16" s="70"/>
      <c r="N16" s="70"/>
      <c r="O16" s="70"/>
    </row>
    <row r="17" spans="1:15" x14ac:dyDescent="0.25">
      <c r="A17" s="88"/>
      <c r="B17" s="88"/>
      <c r="C17" s="88"/>
      <c r="D17" s="88"/>
      <c r="E17" s="70"/>
      <c r="F17" s="70"/>
      <c r="G17" s="70"/>
      <c r="H17" s="70"/>
      <c r="I17" s="70"/>
      <c r="J17" s="70"/>
      <c r="K17" s="70"/>
      <c r="L17" s="70"/>
      <c r="M17" s="70"/>
      <c r="N17" s="70"/>
      <c r="O17" s="70"/>
    </row>
    <row r="18" spans="1:15" x14ac:dyDescent="0.25">
      <c r="A18" s="88"/>
      <c r="B18" s="92"/>
      <c r="C18" s="92"/>
      <c r="D18" s="92"/>
      <c r="E18" s="70"/>
      <c r="F18" s="70"/>
      <c r="G18" s="70"/>
      <c r="H18" s="70"/>
      <c r="I18" s="70"/>
      <c r="J18" s="70"/>
      <c r="K18" s="70"/>
      <c r="L18" s="70"/>
      <c r="M18" s="70"/>
      <c r="N18" s="70"/>
      <c r="O18" s="70"/>
    </row>
    <row r="19" spans="1:15" x14ac:dyDescent="0.25">
      <c r="A19" s="88"/>
      <c r="B19" s="92"/>
      <c r="C19" s="92"/>
      <c r="D19" s="92"/>
      <c r="E19" s="70"/>
      <c r="F19" s="70"/>
      <c r="G19" s="70"/>
      <c r="H19" s="70"/>
      <c r="I19" s="70"/>
      <c r="J19" s="70"/>
      <c r="K19" s="70"/>
      <c r="L19" s="70"/>
      <c r="M19" s="70"/>
      <c r="N19" s="70"/>
      <c r="O19" s="70"/>
    </row>
    <row r="20" spans="1:15" x14ac:dyDescent="0.25">
      <c r="A20" s="88"/>
      <c r="B20" s="92"/>
      <c r="C20" s="92"/>
      <c r="D20" s="92"/>
      <c r="E20" s="70"/>
      <c r="F20" s="70"/>
      <c r="G20" s="70"/>
      <c r="H20" s="70"/>
      <c r="I20" s="70"/>
      <c r="J20" s="70"/>
      <c r="K20" s="70"/>
      <c r="L20" s="70"/>
      <c r="M20" s="70"/>
      <c r="N20" s="70"/>
      <c r="O20" s="70"/>
    </row>
    <row r="21" spans="1:15" x14ac:dyDescent="0.25">
      <c r="A21" s="88"/>
      <c r="B21" s="92"/>
      <c r="C21" s="92"/>
      <c r="D21" s="92"/>
      <c r="E21" s="70"/>
      <c r="F21" s="70"/>
      <c r="G21" s="70"/>
      <c r="H21" s="70"/>
      <c r="I21" s="70"/>
      <c r="J21" s="70"/>
      <c r="K21" s="70"/>
      <c r="L21" s="70"/>
      <c r="M21" s="70"/>
      <c r="N21" s="70"/>
      <c r="O21" s="70"/>
    </row>
    <row r="22" spans="1:15" ht="20.25" x14ac:dyDescent="0.25">
      <c r="A22" s="88"/>
      <c r="B22" s="88"/>
      <c r="C22" s="90"/>
      <c r="D22" s="90"/>
      <c r="E22" s="70"/>
      <c r="F22" s="70"/>
      <c r="G22" s="70"/>
      <c r="H22" s="70"/>
      <c r="I22" s="70"/>
      <c r="J22" s="70"/>
      <c r="K22" s="70"/>
      <c r="L22" s="70"/>
      <c r="M22" s="70"/>
      <c r="N22" s="70"/>
      <c r="O22" s="70"/>
    </row>
    <row r="23" spans="1:15" ht="20.25" x14ac:dyDescent="0.25">
      <c r="A23" s="88"/>
      <c r="B23" s="88"/>
      <c r="C23" s="90"/>
      <c r="D23" s="90"/>
      <c r="E23" s="70"/>
      <c r="F23" s="70"/>
      <c r="G23" s="70"/>
      <c r="H23" s="70"/>
      <c r="I23" s="70"/>
      <c r="J23" s="70"/>
      <c r="K23" s="70"/>
      <c r="L23" s="70"/>
      <c r="M23" s="70"/>
      <c r="N23" s="70"/>
      <c r="O23" s="70"/>
    </row>
    <row r="24" spans="1:15" ht="20.25" x14ac:dyDescent="0.25">
      <c r="A24" s="88"/>
      <c r="B24" s="88"/>
      <c r="C24" s="90"/>
      <c r="D24" s="90"/>
      <c r="E24" s="70"/>
      <c r="F24" s="70"/>
      <c r="G24" s="70"/>
      <c r="H24" s="70"/>
      <c r="I24" s="70"/>
      <c r="J24" s="70"/>
      <c r="K24" s="70"/>
      <c r="L24" s="70"/>
      <c r="M24" s="70"/>
      <c r="N24" s="70"/>
      <c r="O24" s="70"/>
    </row>
    <row r="25" spans="1:15" ht="20.25" x14ac:dyDescent="0.25">
      <c r="A25" s="88"/>
      <c r="B25" s="88"/>
      <c r="C25" s="90"/>
      <c r="D25" s="90"/>
      <c r="E25" s="70"/>
      <c r="F25" s="70"/>
      <c r="G25" s="70"/>
      <c r="H25" s="70"/>
      <c r="I25" s="70"/>
      <c r="J25" s="70"/>
      <c r="K25" s="70"/>
      <c r="L25" s="70"/>
      <c r="M25" s="70"/>
      <c r="N25" s="70"/>
      <c r="O25" s="70"/>
    </row>
    <row r="26" spans="1:15" ht="20.25" x14ac:dyDescent="0.25">
      <c r="A26" s="88"/>
      <c r="B26" s="88"/>
      <c r="C26" s="90"/>
      <c r="D26" s="90"/>
      <c r="E26" s="70"/>
      <c r="F26" s="70"/>
      <c r="G26" s="70"/>
      <c r="H26" s="70"/>
      <c r="I26" s="70"/>
      <c r="J26" s="70"/>
      <c r="K26" s="70"/>
      <c r="L26" s="70"/>
      <c r="M26" s="70"/>
      <c r="N26" s="70"/>
      <c r="O26" s="70"/>
    </row>
    <row r="27" spans="1:15" ht="20.25" x14ac:dyDescent="0.25">
      <c r="A27" s="88"/>
      <c r="B27" s="88"/>
      <c r="C27" s="90"/>
      <c r="D27" s="90"/>
      <c r="E27" s="70"/>
      <c r="F27" s="70"/>
      <c r="G27" s="70"/>
      <c r="H27" s="70"/>
      <c r="I27" s="70"/>
      <c r="J27" s="70"/>
      <c r="K27" s="70"/>
      <c r="L27" s="70"/>
      <c r="M27" s="70"/>
      <c r="N27" s="70"/>
      <c r="O27" s="70"/>
    </row>
    <row r="28" spans="1:15" ht="20.25" x14ac:dyDescent="0.25">
      <c r="A28" s="88"/>
      <c r="B28" s="88"/>
      <c r="C28" s="90"/>
      <c r="D28" s="90"/>
      <c r="E28" s="70"/>
      <c r="F28" s="70"/>
      <c r="G28" s="70"/>
      <c r="H28" s="70"/>
      <c r="I28" s="70"/>
      <c r="J28" s="70"/>
      <c r="K28" s="70"/>
      <c r="L28" s="70"/>
      <c r="M28" s="70"/>
      <c r="N28" s="70"/>
      <c r="O28" s="70"/>
    </row>
    <row r="29" spans="1:15" ht="20.25" x14ac:dyDescent="0.25">
      <c r="A29" s="88"/>
      <c r="B29" s="88"/>
      <c r="C29" s="90"/>
      <c r="D29" s="90"/>
      <c r="E29" s="70"/>
      <c r="F29" s="70"/>
      <c r="G29" s="70"/>
      <c r="H29" s="70"/>
      <c r="I29" s="70"/>
      <c r="J29" s="70"/>
      <c r="K29" s="70"/>
      <c r="L29" s="70"/>
      <c r="M29" s="70"/>
      <c r="N29" s="70"/>
      <c r="O29" s="70"/>
    </row>
    <row r="30" spans="1:15" ht="20.25" x14ac:dyDescent="0.25">
      <c r="A30" s="88"/>
      <c r="B30" s="88"/>
      <c r="C30" s="90"/>
      <c r="D30" s="90"/>
      <c r="E30" s="70"/>
      <c r="F30" s="70"/>
      <c r="G30" s="70"/>
      <c r="H30" s="70"/>
      <c r="I30" s="70"/>
      <c r="J30" s="70"/>
      <c r="K30" s="70"/>
      <c r="L30" s="70"/>
      <c r="M30" s="70"/>
      <c r="N30" s="70"/>
      <c r="O30" s="70"/>
    </row>
    <row r="31" spans="1:15" ht="20.25" x14ac:dyDescent="0.25">
      <c r="A31" s="88"/>
      <c r="B31" s="88"/>
      <c r="C31" s="90"/>
      <c r="D31" s="90"/>
      <c r="E31" s="70"/>
      <c r="F31" s="70"/>
      <c r="G31" s="70"/>
      <c r="H31" s="70"/>
      <c r="I31" s="70"/>
      <c r="J31" s="70"/>
      <c r="K31" s="70"/>
      <c r="L31" s="70"/>
      <c r="M31" s="70"/>
      <c r="N31" s="70"/>
      <c r="O31" s="70"/>
    </row>
    <row r="32" spans="1:15" ht="20.25" x14ac:dyDescent="0.25">
      <c r="A32" s="88"/>
      <c r="B32" s="88"/>
      <c r="C32" s="90"/>
      <c r="D32" s="90"/>
      <c r="E32" s="70"/>
      <c r="F32" s="70"/>
      <c r="G32" s="70"/>
      <c r="H32" s="70"/>
      <c r="I32" s="70"/>
      <c r="J32" s="70"/>
      <c r="K32" s="70"/>
      <c r="L32" s="70"/>
      <c r="M32" s="70"/>
      <c r="N32" s="70"/>
      <c r="O32" s="70"/>
    </row>
    <row r="33" spans="1:15" ht="20.25" x14ac:dyDescent="0.25">
      <c r="A33" s="88"/>
      <c r="B33" s="88"/>
      <c r="C33" s="90"/>
      <c r="D33" s="90"/>
      <c r="E33" s="70"/>
      <c r="F33" s="70"/>
      <c r="G33" s="70"/>
      <c r="H33" s="70"/>
      <c r="I33" s="70"/>
      <c r="J33" s="70"/>
      <c r="K33" s="70"/>
      <c r="L33" s="70"/>
      <c r="M33" s="70"/>
      <c r="N33" s="70"/>
      <c r="O33" s="70"/>
    </row>
    <row r="34" spans="1:15" ht="20.25" x14ac:dyDescent="0.25">
      <c r="A34" s="88"/>
      <c r="B34" s="88"/>
      <c r="C34" s="90"/>
      <c r="D34" s="90"/>
      <c r="E34" s="70"/>
      <c r="F34" s="70"/>
      <c r="G34" s="70"/>
      <c r="H34" s="70"/>
      <c r="I34" s="70"/>
      <c r="J34" s="70"/>
      <c r="K34" s="70"/>
      <c r="L34" s="70"/>
      <c r="M34" s="70"/>
      <c r="N34" s="70"/>
      <c r="O34" s="70"/>
    </row>
    <row r="35" spans="1:15" ht="20.25" x14ac:dyDescent="0.25">
      <c r="A35" s="88"/>
      <c r="B35" s="88"/>
      <c r="C35" s="90"/>
      <c r="D35" s="90"/>
      <c r="E35" s="70"/>
      <c r="F35" s="70"/>
      <c r="G35" s="70"/>
      <c r="H35" s="70"/>
      <c r="I35" s="70"/>
      <c r="J35" s="70"/>
      <c r="K35" s="70"/>
      <c r="L35" s="70"/>
      <c r="M35" s="70"/>
      <c r="N35" s="70"/>
      <c r="O35" s="70"/>
    </row>
    <row r="36" spans="1:15" ht="20.25" x14ac:dyDescent="0.25">
      <c r="A36" s="88"/>
      <c r="B36" s="88"/>
      <c r="C36" s="90"/>
      <c r="D36" s="90"/>
      <c r="E36" s="70"/>
      <c r="F36" s="70"/>
      <c r="G36" s="70"/>
      <c r="H36" s="70"/>
      <c r="I36" s="70"/>
      <c r="J36" s="70"/>
      <c r="K36" s="70"/>
      <c r="L36" s="70"/>
      <c r="M36" s="70"/>
      <c r="N36" s="70"/>
      <c r="O36" s="70"/>
    </row>
    <row r="37" spans="1:15" ht="20.25" x14ac:dyDescent="0.25">
      <c r="A37" s="88"/>
      <c r="B37" s="88"/>
      <c r="C37" s="90"/>
      <c r="D37" s="90"/>
      <c r="E37" s="70"/>
      <c r="F37" s="70"/>
      <c r="G37" s="70"/>
      <c r="H37" s="70"/>
      <c r="I37" s="70"/>
      <c r="J37" s="70"/>
      <c r="K37" s="70"/>
      <c r="L37" s="70"/>
      <c r="M37" s="70"/>
      <c r="N37" s="70"/>
      <c r="O37" s="70"/>
    </row>
    <row r="38" spans="1:15" ht="20.25" x14ac:dyDescent="0.25">
      <c r="A38" s="88"/>
      <c r="B38" s="88"/>
      <c r="C38" s="90"/>
      <c r="D38" s="90"/>
      <c r="E38" s="70"/>
      <c r="F38" s="70"/>
      <c r="G38" s="70"/>
      <c r="H38" s="70"/>
      <c r="I38" s="70"/>
      <c r="J38" s="70"/>
      <c r="K38" s="70"/>
      <c r="L38" s="70"/>
      <c r="M38" s="70"/>
      <c r="N38" s="70"/>
      <c r="O38" s="70"/>
    </row>
    <row r="39" spans="1:15" ht="20.25" x14ac:dyDescent="0.25">
      <c r="A39" s="88"/>
      <c r="B39" s="88"/>
      <c r="C39" s="90"/>
      <c r="D39" s="90"/>
      <c r="E39" s="70"/>
      <c r="F39" s="70"/>
      <c r="G39" s="70"/>
      <c r="H39" s="70"/>
      <c r="I39" s="70"/>
      <c r="J39" s="70"/>
      <c r="K39" s="70"/>
      <c r="L39" s="70"/>
      <c r="M39" s="70"/>
      <c r="N39" s="70"/>
      <c r="O39" s="70"/>
    </row>
    <row r="40" spans="1:15" ht="20.25" x14ac:dyDescent="0.25">
      <c r="A40" s="88"/>
      <c r="B40" s="88"/>
      <c r="C40" s="90"/>
      <c r="D40" s="90"/>
      <c r="E40" s="70"/>
      <c r="F40" s="70"/>
      <c r="G40" s="70"/>
      <c r="H40" s="70"/>
      <c r="I40" s="70"/>
      <c r="J40" s="70"/>
      <c r="K40" s="70"/>
      <c r="L40" s="70"/>
      <c r="M40" s="70"/>
      <c r="N40" s="70"/>
      <c r="O40" s="70"/>
    </row>
    <row r="41" spans="1:15" ht="20.25" x14ac:dyDescent="0.25">
      <c r="A41" s="88"/>
      <c r="B41" s="88"/>
      <c r="C41" s="90"/>
      <c r="D41" s="90"/>
      <c r="E41" s="70"/>
      <c r="F41" s="70"/>
      <c r="G41" s="70"/>
      <c r="H41" s="70"/>
      <c r="I41" s="70"/>
      <c r="J41" s="70"/>
      <c r="K41" s="70"/>
      <c r="L41" s="70"/>
      <c r="M41" s="70"/>
      <c r="N41" s="70"/>
      <c r="O41" s="70"/>
    </row>
    <row r="42" spans="1:15" ht="20.25" x14ac:dyDescent="0.25">
      <c r="A42" s="88"/>
      <c r="B42" s="88"/>
      <c r="C42" s="90"/>
      <c r="D42" s="90"/>
      <c r="E42" s="70"/>
      <c r="F42" s="70"/>
      <c r="G42" s="70"/>
      <c r="H42" s="70"/>
      <c r="I42" s="70"/>
      <c r="J42" s="70"/>
      <c r="K42" s="70"/>
      <c r="L42" s="70"/>
      <c r="M42" s="70"/>
      <c r="N42" s="70"/>
      <c r="O42" s="70"/>
    </row>
    <row r="43" spans="1:15" ht="20.25" x14ac:dyDescent="0.25">
      <c r="A43" s="88"/>
      <c r="B43" s="88"/>
      <c r="C43" s="90"/>
      <c r="D43" s="90"/>
      <c r="E43" s="70"/>
      <c r="F43" s="70"/>
      <c r="G43" s="70"/>
      <c r="H43" s="70"/>
      <c r="I43" s="70"/>
      <c r="J43" s="70"/>
      <c r="K43" s="70"/>
      <c r="L43" s="70"/>
      <c r="M43" s="70"/>
      <c r="N43" s="70"/>
      <c r="O43" s="70"/>
    </row>
    <row r="44" spans="1:15" ht="20.25" x14ac:dyDescent="0.25">
      <c r="A44" s="88"/>
      <c r="B44" s="88"/>
      <c r="C44" s="90"/>
      <c r="D44" s="90"/>
      <c r="E44" s="70"/>
      <c r="F44" s="70"/>
      <c r="G44" s="70"/>
      <c r="H44" s="70"/>
      <c r="I44" s="70"/>
      <c r="J44" s="70"/>
      <c r="K44" s="70"/>
      <c r="L44" s="70"/>
      <c r="M44" s="70"/>
      <c r="N44" s="70"/>
      <c r="O44" s="70"/>
    </row>
    <row r="45" spans="1:15" ht="20.25" x14ac:dyDescent="0.25">
      <c r="A45" s="88"/>
      <c r="B45" s="88"/>
      <c r="C45" s="90"/>
      <c r="D45" s="90"/>
      <c r="E45" s="70"/>
      <c r="F45" s="70"/>
      <c r="G45" s="70"/>
      <c r="H45" s="70"/>
      <c r="I45" s="70"/>
      <c r="J45" s="70"/>
      <c r="K45" s="70"/>
      <c r="L45" s="70"/>
      <c r="M45" s="70"/>
      <c r="N45" s="70"/>
      <c r="O45" s="70"/>
    </row>
    <row r="46" spans="1:15" ht="20.25" x14ac:dyDescent="0.25">
      <c r="A46" s="88"/>
      <c r="B46" s="88"/>
      <c r="C46" s="90"/>
      <c r="D46" s="90"/>
      <c r="E46" s="70"/>
      <c r="F46" s="70"/>
      <c r="G46" s="70"/>
      <c r="H46" s="70"/>
      <c r="I46" s="70"/>
      <c r="J46" s="70"/>
      <c r="K46" s="70"/>
      <c r="L46" s="70"/>
      <c r="M46" s="70"/>
      <c r="N46" s="70"/>
      <c r="O46" s="70"/>
    </row>
    <row r="47" spans="1:15" ht="20.25" x14ac:dyDescent="0.25">
      <c r="A47" s="88"/>
      <c r="B47" s="88"/>
      <c r="C47" s="90"/>
      <c r="D47" s="90"/>
      <c r="E47" s="70"/>
      <c r="F47" s="70"/>
      <c r="G47" s="70"/>
      <c r="H47" s="70"/>
      <c r="I47" s="70"/>
      <c r="J47" s="70"/>
      <c r="K47" s="70"/>
      <c r="L47" s="70"/>
      <c r="M47" s="70"/>
      <c r="N47" s="70"/>
      <c r="O47" s="70"/>
    </row>
    <row r="48" spans="1:15" ht="20.25" x14ac:dyDescent="0.25">
      <c r="A48" s="88"/>
      <c r="B48" s="88"/>
      <c r="C48" s="90"/>
      <c r="D48" s="90"/>
      <c r="E48" s="70"/>
      <c r="F48" s="70"/>
      <c r="G48" s="70"/>
      <c r="H48" s="70"/>
      <c r="I48" s="70"/>
      <c r="J48" s="70"/>
      <c r="K48" s="70"/>
      <c r="L48" s="70"/>
      <c r="M48" s="70"/>
      <c r="N48" s="70"/>
      <c r="O48" s="70"/>
    </row>
    <row r="49" spans="1:15" ht="20.25" x14ac:dyDescent="0.25">
      <c r="A49" s="88"/>
      <c r="B49" s="88"/>
      <c r="C49" s="90"/>
      <c r="D49" s="90"/>
      <c r="E49" s="70"/>
      <c r="F49" s="70"/>
      <c r="G49" s="70"/>
      <c r="H49" s="70"/>
      <c r="I49" s="70"/>
      <c r="J49" s="70"/>
      <c r="K49" s="70"/>
      <c r="L49" s="70"/>
      <c r="M49" s="70"/>
      <c r="N49" s="70"/>
      <c r="O49" s="70"/>
    </row>
    <row r="50" spans="1:15" ht="20.25" x14ac:dyDescent="0.25">
      <c r="A50" s="88"/>
      <c r="B50" s="88"/>
      <c r="C50" s="90"/>
      <c r="D50" s="90"/>
      <c r="E50" s="70"/>
      <c r="F50" s="70"/>
      <c r="G50" s="70"/>
      <c r="H50" s="70"/>
      <c r="I50" s="70"/>
      <c r="J50" s="70"/>
      <c r="K50" s="70"/>
      <c r="L50" s="70"/>
      <c r="M50" s="70"/>
      <c r="N50" s="70"/>
      <c r="O50" s="70"/>
    </row>
    <row r="51" spans="1:15" ht="20.25" x14ac:dyDescent="0.25">
      <c r="A51" s="88"/>
      <c r="B51" s="88"/>
      <c r="C51" s="90"/>
      <c r="D51" s="90"/>
      <c r="E51" s="70"/>
      <c r="F51" s="70"/>
      <c r="G51" s="70"/>
      <c r="H51" s="70"/>
      <c r="I51" s="70"/>
      <c r="J51" s="70"/>
      <c r="K51" s="70"/>
      <c r="L51" s="70"/>
      <c r="M51" s="70"/>
      <c r="N51" s="70"/>
      <c r="O51" s="70"/>
    </row>
    <row r="52" spans="1:15" ht="20.25" x14ac:dyDescent="0.25">
      <c r="A52" s="88"/>
      <c r="B52" s="15"/>
      <c r="C52" s="20"/>
      <c r="D52" s="20"/>
    </row>
    <row r="53" spans="1:15" ht="20.25" x14ac:dyDescent="0.25">
      <c r="A53" s="88"/>
      <c r="B53" s="15"/>
      <c r="C53" s="20"/>
      <c r="D53" s="20"/>
    </row>
    <row r="54" spans="1:15" ht="20.25" x14ac:dyDescent="0.25">
      <c r="A54" s="88"/>
      <c r="B54" s="15"/>
      <c r="C54" s="20"/>
      <c r="D54" s="20"/>
    </row>
    <row r="55" spans="1:15" ht="20.25" x14ac:dyDescent="0.25">
      <c r="A55" s="88"/>
      <c r="B55" s="15"/>
      <c r="C55" s="20"/>
      <c r="D55" s="20"/>
    </row>
    <row r="56" spans="1:15" ht="20.25" x14ac:dyDescent="0.25">
      <c r="A56" s="88"/>
      <c r="B56" s="15"/>
      <c r="C56" s="20"/>
      <c r="D56" s="20"/>
    </row>
    <row r="57" spans="1:15" ht="20.25" x14ac:dyDescent="0.25">
      <c r="A57" s="88"/>
      <c r="B57" s="15"/>
      <c r="C57" s="20"/>
      <c r="D57" s="20"/>
    </row>
    <row r="58" spans="1:15" ht="20.25" x14ac:dyDescent="0.25">
      <c r="A58" s="88"/>
      <c r="B58" s="15"/>
      <c r="C58" s="20"/>
      <c r="D58" s="20"/>
    </row>
    <row r="59" spans="1:15" ht="20.25" x14ac:dyDescent="0.25">
      <c r="A59" s="88"/>
      <c r="B59" s="15"/>
      <c r="C59" s="20"/>
      <c r="D59" s="20"/>
    </row>
    <row r="60" spans="1:15" ht="20.25" x14ac:dyDescent="0.25">
      <c r="A60" s="88"/>
      <c r="B60" s="15"/>
      <c r="C60" s="20"/>
      <c r="D60" s="20"/>
    </row>
    <row r="61" spans="1:15" ht="20.25" x14ac:dyDescent="0.25">
      <c r="A61" s="88"/>
      <c r="B61" s="15"/>
      <c r="C61" s="20"/>
      <c r="D61" s="20"/>
    </row>
    <row r="62" spans="1:15" ht="20.25" x14ac:dyDescent="0.25">
      <c r="A62" s="88"/>
      <c r="B62" s="15"/>
      <c r="C62" s="20"/>
      <c r="D62" s="20"/>
    </row>
    <row r="63" spans="1:15" ht="20.25" x14ac:dyDescent="0.25">
      <c r="A63" s="88"/>
      <c r="B63" s="15"/>
      <c r="C63" s="20"/>
      <c r="D63" s="20"/>
    </row>
    <row r="64" spans="1:15" ht="20.25" x14ac:dyDescent="0.25">
      <c r="A64" s="88"/>
      <c r="B64" s="15"/>
      <c r="C64" s="20"/>
      <c r="D64" s="20"/>
    </row>
    <row r="65" spans="1:4" ht="20.25" x14ac:dyDescent="0.25">
      <c r="A65" s="88"/>
      <c r="B65" s="15"/>
      <c r="C65" s="20"/>
      <c r="D65" s="20"/>
    </row>
    <row r="66" spans="1:4" ht="20.25" x14ac:dyDescent="0.25">
      <c r="A66" s="88"/>
      <c r="B66" s="15"/>
      <c r="C66" s="20"/>
      <c r="D66" s="20"/>
    </row>
    <row r="67" spans="1:4" ht="20.25" x14ac:dyDescent="0.25">
      <c r="A67" s="88"/>
      <c r="B67" s="15"/>
      <c r="C67" s="20"/>
      <c r="D67" s="20"/>
    </row>
    <row r="68" spans="1:4" ht="20.25" x14ac:dyDescent="0.25">
      <c r="A68" s="88"/>
      <c r="B68" s="15"/>
      <c r="C68" s="20"/>
      <c r="D68" s="20"/>
    </row>
    <row r="69" spans="1:4" ht="20.25" x14ac:dyDescent="0.25">
      <c r="A69" s="88"/>
      <c r="B69" s="15"/>
      <c r="C69" s="20"/>
      <c r="D69" s="20"/>
    </row>
    <row r="70" spans="1:4" ht="20.25" x14ac:dyDescent="0.25">
      <c r="A70" s="88"/>
      <c r="B70" s="15"/>
      <c r="C70" s="20"/>
      <c r="D70" s="20"/>
    </row>
    <row r="71" spans="1:4" ht="20.25" x14ac:dyDescent="0.25">
      <c r="A71" s="88"/>
      <c r="B71" s="15"/>
      <c r="C71" s="20"/>
      <c r="D71" s="20"/>
    </row>
    <row r="72" spans="1:4" ht="20.25" x14ac:dyDescent="0.25">
      <c r="A72" s="88"/>
      <c r="B72" s="15"/>
      <c r="C72" s="20"/>
      <c r="D72" s="20"/>
    </row>
    <row r="73" spans="1:4" ht="20.25" x14ac:dyDescent="0.25">
      <c r="A73" s="88"/>
      <c r="B73" s="15"/>
      <c r="C73" s="20"/>
      <c r="D73" s="20"/>
    </row>
    <row r="74" spans="1:4" ht="20.25" x14ac:dyDescent="0.25">
      <c r="A74" s="88"/>
      <c r="B74" s="15"/>
      <c r="C74" s="20"/>
      <c r="D74" s="20"/>
    </row>
    <row r="75" spans="1:4" ht="20.25" x14ac:dyDescent="0.25">
      <c r="A75" s="88"/>
      <c r="B75" s="15"/>
      <c r="C75" s="20"/>
      <c r="D75" s="20"/>
    </row>
    <row r="76" spans="1:4" ht="20.25" x14ac:dyDescent="0.25">
      <c r="A76" s="88"/>
      <c r="B76" s="15"/>
      <c r="C76" s="20"/>
      <c r="D76" s="20"/>
    </row>
    <row r="77" spans="1:4" ht="20.25" x14ac:dyDescent="0.25">
      <c r="A77" s="88"/>
      <c r="B77" s="15"/>
      <c r="C77" s="20"/>
      <c r="D77" s="20"/>
    </row>
    <row r="78" spans="1:4" ht="20.25" x14ac:dyDescent="0.25">
      <c r="A78" s="88"/>
      <c r="B78" s="15"/>
      <c r="C78" s="20"/>
      <c r="D78" s="20"/>
    </row>
    <row r="79" spans="1:4" ht="20.25" x14ac:dyDescent="0.25">
      <c r="A79" s="88"/>
      <c r="B79" s="15"/>
      <c r="C79" s="20"/>
      <c r="D79" s="20"/>
    </row>
    <row r="80" spans="1:4" ht="20.25" x14ac:dyDescent="0.25">
      <c r="A80" s="88"/>
      <c r="B80" s="15"/>
      <c r="C80" s="20"/>
      <c r="D80" s="20"/>
    </row>
    <row r="81" spans="1:4" ht="20.25" x14ac:dyDescent="0.25">
      <c r="A81" s="88"/>
      <c r="B81" s="15"/>
      <c r="C81" s="20"/>
      <c r="D81" s="20"/>
    </row>
    <row r="82" spans="1:4" ht="20.25" x14ac:dyDescent="0.25">
      <c r="A82" s="88"/>
      <c r="B82" s="15"/>
      <c r="C82" s="20"/>
      <c r="D82" s="20"/>
    </row>
    <row r="83" spans="1:4" ht="20.25" x14ac:dyDescent="0.25">
      <c r="A83" s="88"/>
      <c r="B83" s="15"/>
      <c r="C83" s="20"/>
      <c r="D83" s="20"/>
    </row>
    <row r="84" spans="1:4" ht="20.25" x14ac:dyDescent="0.25">
      <c r="A84" s="88"/>
      <c r="B84" s="15"/>
      <c r="C84" s="20"/>
      <c r="D84" s="20"/>
    </row>
    <row r="85" spans="1:4" ht="20.25" x14ac:dyDescent="0.25">
      <c r="A85" s="88"/>
      <c r="B85" s="15"/>
      <c r="C85" s="20"/>
      <c r="D85" s="20"/>
    </row>
    <row r="86" spans="1:4" ht="20.25" x14ac:dyDescent="0.25">
      <c r="A86" s="88"/>
      <c r="B86" s="15"/>
      <c r="C86" s="20"/>
      <c r="D86" s="20"/>
    </row>
    <row r="87" spans="1:4" ht="20.25" x14ac:dyDescent="0.25">
      <c r="A87" s="88"/>
      <c r="B87" s="15"/>
      <c r="C87" s="20"/>
      <c r="D87" s="20"/>
    </row>
    <row r="88" spans="1:4" ht="20.25" x14ac:dyDescent="0.25">
      <c r="A88" s="88"/>
      <c r="B88" s="15"/>
      <c r="C88" s="20"/>
      <c r="D88" s="20"/>
    </row>
    <row r="89" spans="1:4" ht="20.25" x14ac:dyDescent="0.25">
      <c r="A89" s="88"/>
      <c r="B89" s="15"/>
      <c r="C89" s="20"/>
      <c r="D89" s="20"/>
    </row>
    <row r="90" spans="1:4" ht="20.25" x14ac:dyDescent="0.25">
      <c r="A90" s="88"/>
      <c r="B90" s="15"/>
      <c r="C90" s="20"/>
      <c r="D90" s="20"/>
    </row>
    <row r="91" spans="1:4" ht="20.25" x14ac:dyDescent="0.25">
      <c r="A91" s="88"/>
      <c r="B91" s="15"/>
      <c r="C91" s="20"/>
      <c r="D91" s="20"/>
    </row>
    <row r="92" spans="1:4" ht="20.25" x14ac:dyDescent="0.25">
      <c r="A92" s="88"/>
      <c r="B92" s="15"/>
      <c r="C92" s="20"/>
      <c r="D92" s="20"/>
    </row>
    <row r="93" spans="1:4" ht="20.25" x14ac:dyDescent="0.25">
      <c r="A93" s="88"/>
      <c r="B93" s="15"/>
      <c r="C93" s="20"/>
      <c r="D93" s="20"/>
    </row>
    <row r="94" spans="1:4" ht="20.25" x14ac:dyDescent="0.25">
      <c r="A94" s="88"/>
      <c r="B94" s="15"/>
      <c r="C94" s="20"/>
      <c r="D94" s="20"/>
    </row>
    <row r="95" spans="1:4" ht="20.25" x14ac:dyDescent="0.25">
      <c r="A95" s="88"/>
      <c r="B95" s="15"/>
      <c r="C95" s="20"/>
      <c r="D95" s="20"/>
    </row>
    <row r="96" spans="1:4" ht="20.25" x14ac:dyDescent="0.25">
      <c r="A96" s="88"/>
      <c r="B96" s="15"/>
      <c r="C96" s="20"/>
      <c r="D96" s="20"/>
    </row>
    <row r="97" spans="1:4" ht="20.25" x14ac:dyDescent="0.25">
      <c r="A97" s="88"/>
      <c r="B97" s="15"/>
      <c r="C97" s="20"/>
      <c r="D97" s="20"/>
    </row>
    <row r="98" spans="1:4" ht="20.25" x14ac:dyDescent="0.25">
      <c r="A98" s="88"/>
      <c r="B98" s="15"/>
      <c r="C98" s="20"/>
      <c r="D98" s="20"/>
    </row>
    <row r="99" spans="1:4" ht="20.25" x14ac:dyDescent="0.25">
      <c r="A99" s="88"/>
      <c r="B99" s="15"/>
      <c r="C99" s="20"/>
      <c r="D99" s="20"/>
    </row>
    <row r="100" spans="1:4" ht="20.25" x14ac:dyDescent="0.25">
      <c r="A100" s="88"/>
      <c r="B100" s="15"/>
      <c r="C100" s="20"/>
      <c r="D100" s="20"/>
    </row>
    <row r="101" spans="1:4" ht="20.25" x14ac:dyDescent="0.25">
      <c r="A101" s="88"/>
      <c r="B101" s="15"/>
      <c r="C101" s="20"/>
      <c r="D101" s="20"/>
    </row>
    <row r="102" spans="1:4" ht="20.25" x14ac:dyDescent="0.25">
      <c r="A102" s="88"/>
      <c r="B102" s="15"/>
      <c r="C102" s="20"/>
      <c r="D102" s="20"/>
    </row>
    <row r="103" spans="1:4" ht="20.25" x14ac:dyDescent="0.25">
      <c r="A103" s="88"/>
      <c r="B103" s="15"/>
      <c r="C103" s="20"/>
      <c r="D103" s="20"/>
    </row>
    <row r="104" spans="1:4" ht="20.25" x14ac:dyDescent="0.25">
      <c r="A104" s="88"/>
      <c r="B104" s="15"/>
      <c r="C104" s="20"/>
      <c r="D104" s="20"/>
    </row>
    <row r="105" spans="1:4" ht="20.25" x14ac:dyDescent="0.25">
      <c r="A105" s="88"/>
      <c r="B105" s="15"/>
      <c r="C105" s="20"/>
      <c r="D105" s="20"/>
    </row>
    <row r="106" spans="1:4" ht="20.25" x14ac:dyDescent="0.25">
      <c r="A106" s="88"/>
      <c r="B106" s="15"/>
      <c r="C106" s="20"/>
      <c r="D106" s="20"/>
    </row>
    <row r="107" spans="1:4" ht="20.25" x14ac:dyDescent="0.25">
      <c r="A107" s="88"/>
      <c r="B107" s="15"/>
      <c r="C107" s="20"/>
      <c r="D107" s="20"/>
    </row>
    <row r="108" spans="1:4" ht="20.25" x14ac:dyDescent="0.25">
      <c r="A108" s="88"/>
      <c r="B108" s="15"/>
      <c r="C108" s="20"/>
      <c r="D108" s="20"/>
    </row>
    <row r="109" spans="1:4" ht="20.25" x14ac:dyDescent="0.25">
      <c r="A109" s="88"/>
      <c r="B109" s="15"/>
      <c r="C109" s="20"/>
      <c r="D109" s="20"/>
    </row>
    <row r="110" spans="1:4" ht="20.25" x14ac:dyDescent="0.25">
      <c r="A110" s="88"/>
      <c r="B110" s="15"/>
      <c r="C110" s="20"/>
      <c r="D110" s="20"/>
    </row>
    <row r="111" spans="1:4" ht="20.25" x14ac:dyDescent="0.25">
      <c r="A111" s="88"/>
      <c r="B111" s="15"/>
      <c r="C111" s="20"/>
      <c r="D111" s="20"/>
    </row>
    <row r="112" spans="1:4" ht="20.25" x14ac:dyDescent="0.25">
      <c r="A112" s="88"/>
      <c r="B112" s="15"/>
      <c r="C112" s="20"/>
      <c r="D112" s="20"/>
    </row>
    <row r="113" spans="1:4" ht="20.25" x14ac:dyDescent="0.25">
      <c r="A113" s="88"/>
      <c r="B113" s="15"/>
      <c r="C113" s="20"/>
      <c r="D113" s="20"/>
    </row>
    <row r="114" spans="1:4" ht="20.25" x14ac:dyDescent="0.25">
      <c r="A114" s="88"/>
      <c r="B114" s="15"/>
      <c r="C114" s="20"/>
      <c r="D114" s="20"/>
    </row>
    <row r="115" spans="1:4" ht="20.25" x14ac:dyDescent="0.25">
      <c r="A115" s="88"/>
      <c r="B115" s="15"/>
      <c r="C115" s="20"/>
      <c r="D115" s="20"/>
    </row>
    <row r="116" spans="1:4" ht="20.25" x14ac:dyDescent="0.25">
      <c r="A116" s="88"/>
      <c r="B116" s="15"/>
      <c r="C116" s="20"/>
      <c r="D116" s="20"/>
    </row>
    <row r="117" spans="1:4" ht="20.25" x14ac:dyDescent="0.25">
      <c r="A117" s="88"/>
      <c r="B117" s="15"/>
      <c r="C117" s="20"/>
      <c r="D117" s="20"/>
    </row>
    <row r="118" spans="1:4" ht="20.25" x14ac:dyDescent="0.25">
      <c r="A118" s="88"/>
      <c r="B118" s="15"/>
      <c r="C118" s="20"/>
      <c r="D118" s="20"/>
    </row>
    <row r="119" spans="1:4" ht="20.25" x14ac:dyDescent="0.25">
      <c r="A119" s="88"/>
      <c r="B119" s="15"/>
      <c r="C119" s="20"/>
      <c r="D119" s="20"/>
    </row>
    <row r="120" spans="1:4" ht="20.25" x14ac:dyDescent="0.25">
      <c r="A120" s="88"/>
      <c r="B120" s="15"/>
      <c r="C120" s="20"/>
      <c r="D120" s="20"/>
    </row>
    <row r="121" spans="1:4" ht="20.25" x14ac:dyDescent="0.25">
      <c r="A121" s="88"/>
      <c r="B121" s="15"/>
      <c r="C121" s="20"/>
      <c r="D121" s="20"/>
    </row>
    <row r="122" spans="1:4" ht="20.25" x14ac:dyDescent="0.25">
      <c r="A122" s="88"/>
      <c r="B122" s="15"/>
      <c r="C122" s="20"/>
      <c r="D122" s="20"/>
    </row>
    <row r="123" spans="1:4" ht="20.25" x14ac:dyDescent="0.25">
      <c r="A123" s="88"/>
      <c r="B123" s="15"/>
      <c r="C123" s="20"/>
      <c r="D123" s="20"/>
    </row>
    <row r="124" spans="1:4" ht="20.25" x14ac:dyDescent="0.25">
      <c r="A124" s="88"/>
      <c r="B124" s="15"/>
      <c r="C124" s="20"/>
      <c r="D124" s="20"/>
    </row>
    <row r="125" spans="1:4" ht="20.25" x14ac:dyDescent="0.25">
      <c r="A125" s="88"/>
      <c r="B125" s="15"/>
      <c r="C125" s="20"/>
      <c r="D125" s="20"/>
    </row>
    <row r="126" spans="1:4" ht="20.25" x14ac:dyDescent="0.25">
      <c r="A126" s="88"/>
      <c r="B126" s="15"/>
      <c r="C126" s="20"/>
      <c r="D126" s="20"/>
    </row>
    <row r="127" spans="1:4" ht="20.25" x14ac:dyDescent="0.25">
      <c r="A127" s="88"/>
      <c r="B127" s="15"/>
      <c r="C127" s="20"/>
      <c r="D127" s="20"/>
    </row>
    <row r="128" spans="1:4" ht="20.25" x14ac:dyDescent="0.25">
      <c r="A128" s="88"/>
      <c r="B128" s="15"/>
      <c r="C128" s="20"/>
      <c r="D128" s="20"/>
    </row>
    <row r="129" spans="1:4" ht="20.25" x14ac:dyDescent="0.25">
      <c r="A129" s="88"/>
      <c r="B129" s="15"/>
      <c r="C129" s="20"/>
      <c r="D129" s="20"/>
    </row>
    <row r="130" spans="1:4" ht="20.25" x14ac:dyDescent="0.25">
      <c r="A130" s="88"/>
      <c r="B130" s="15"/>
      <c r="C130" s="20"/>
      <c r="D130" s="20"/>
    </row>
    <row r="131" spans="1:4" ht="20.25" x14ac:dyDescent="0.25">
      <c r="A131" s="88"/>
      <c r="B131" s="15"/>
      <c r="C131" s="20"/>
      <c r="D131" s="20"/>
    </row>
    <row r="132" spans="1:4" ht="20.25" x14ac:dyDescent="0.25">
      <c r="A132" s="88"/>
      <c r="B132" s="15"/>
      <c r="C132" s="20"/>
      <c r="D132" s="20"/>
    </row>
    <row r="133" spans="1:4" ht="20.25" x14ac:dyDescent="0.25">
      <c r="A133" s="88"/>
      <c r="B133" s="15"/>
      <c r="C133" s="20"/>
      <c r="D133" s="20"/>
    </row>
    <row r="134" spans="1:4" ht="20.25" x14ac:dyDescent="0.25">
      <c r="A134" s="88"/>
      <c r="B134" s="15"/>
      <c r="C134" s="20"/>
      <c r="D134" s="20"/>
    </row>
    <row r="135" spans="1:4" ht="20.25" x14ac:dyDescent="0.25">
      <c r="A135" s="88"/>
      <c r="B135" s="15"/>
      <c r="C135" s="20"/>
      <c r="D135" s="20"/>
    </row>
    <row r="136" spans="1:4" ht="20.25" x14ac:dyDescent="0.25">
      <c r="A136" s="88"/>
      <c r="B136" s="15"/>
      <c r="C136" s="20"/>
      <c r="D136" s="20"/>
    </row>
    <row r="137" spans="1:4" ht="20.25" x14ac:dyDescent="0.25">
      <c r="A137" s="88"/>
      <c r="B137" s="15"/>
      <c r="C137" s="20"/>
      <c r="D137" s="20"/>
    </row>
    <row r="138" spans="1:4" ht="20.25" x14ac:dyDescent="0.25">
      <c r="A138" s="88"/>
      <c r="B138" s="15"/>
      <c r="C138" s="20"/>
      <c r="D138" s="20"/>
    </row>
    <row r="139" spans="1:4" ht="20.25" x14ac:dyDescent="0.25">
      <c r="A139" s="88"/>
      <c r="B139" s="15"/>
      <c r="C139" s="20"/>
      <c r="D139" s="20"/>
    </row>
    <row r="140" spans="1:4" ht="20.25" x14ac:dyDescent="0.25">
      <c r="A140" s="88"/>
      <c r="B140" s="15"/>
      <c r="C140" s="20"/>
      <c r="D140" s="20"/>
    </row>
    <row r="141" spans="1:4" ht="20.25" x14ac:dyDescent="0.25">
      <c r="A141" s="88"/>
      <c r="B141" s="15"/>
      <c r="C141" s="20"/>
      <c r="D141" s="20"/>
    </row>
    <row r="142" spans="1:4" ht="20.25" x14ac:dyDescent="0.25">
      <c r="A142" s="88"/>
      <c r="B142" s="15"/>
      <c r="C142" s="20"/>
      <c r="D142" s="20"/>
    </row>
    <row r="143" spans="1:4" ht="20.25" x14ac:dyDescent="0.25">
      <c r="A143" s="88"/>
      <c r="B143" s="15"/>
      <c r="C143" s="20"/>
      <c r="D143" s="20"/>
    </row>
    <row r="144" spans="1:4" ht="20.25" x14ac:dyDescent="0.25">
      <c r="A144" s="88"/>
      <c r="B144" s="15"/>
      <c r="C144" s="20"/>
      <c r="D144" s="20"/>
    </row>
    <row r="145" spans="1:4" ht="20.25" x14ac:dyDescent="0.25">
      <c r="A145" s="88"/>
      <c r="B145" s="15"/>
      <c r="C145" s="20"/>
      <c r="D145" s="20"/>
    </row>
    <row r="146" spans="1:4" ht="20.25" x14ac:dyDescent="0.25">
      <c r="A146" s="88"/>
      <c r="B146" s="15"/>
      <c r="C146" s="20"/>
      <c r="D146" s="20"/>
    </row>
    <row r="147" spans="1:4" ht="20.25" x14ac:dyDescent="0.25">
      <c r="A147" s="88"/>
      <c r="B147" s="15"/>
      <c r="C147" s="20"/>
      <c r="D147" s="20"/>
    </row>
    <row r="148" spans="1:4" ht="20.25" x14ac:dyDescent="0.25">
      <c r="A148" s="88"/>
      <c r="B148" s="15"/>
      <c r="C148" s="20"/>
      <c r="D148" s="20"/>
    </row>
    <row r="149" spans="1:4" ht="20.25" x14ac:dyDescent="0.25">
      <c r="A149" s="88"/>
      <c r="B149" s="15"/>
      <c r="C149" s="20"/>
      <c r="D149" s="20"/>
    </row>
    <row r="150" spans="1:4" ht="20.25" x14ac:dyDescent="0.25">
      <c r="A150" s="88"/>
      <c r="B150" s="15"/>
      <c r="C150" s="20"/>
      <c r="D150" s="20"/>
    </row>
    <row r="151" spans="1:4" ht="20.25" x14ac:dyDescent="0.25">
      <c r="A151" s="88"/>
      <c r="B151" s="15"/>
      <c r="C151" s="20"/>
      <c r="D151" s="20"/>
    </row>
    <row r="152" spans="1:4" ht="20.25" x14ac:dyDescent="0.25">
      <c r="A152" s="88"/>
      <c r="B152" s="15"/>
      <c r="C152" s="20"/>
      <c r="D152" s="20"/>
    </row>
    <row r="153" spans="1:4" ht="20.25" x14ac:dyDescent="0.25">
      <c r="A153" s="88"/>
      <c r="B153" s="15"/>
      <c r="C153" s="20"/>
      <c r="D153" s="20"/>
    </row>
    <row r="154" spans="1:4" ht="20.25" x14ac:dyDescent="0.25">
      <c r="A154" s="88"/>
      <c r="B154" s="15"/>
      <c r="C154" s="20"/>
      <c r="D154" s="20"/>
    </row>
    <row r="155" spans="1:4" ht="20.25" x14ac:dyDescent="0.25">
      <c r="A155" s="88"/>
      <c r="B155" s="15"/>
      <c r="C155" s="20"/>
      <c r="D155" s="20"/>
    </row>
    <row r="156" spans="1:4" ht="20.25" x14ac:dyDescent="0.25">
      <c r="A156" s="88"/>
      <c r="B156" s="15"/>
      <c r="C156" s="20"/>
      <c r="D156" s="20"/>
    </row>
    <row r="157" spans="1:4" ht="20.25" x14ac:dyDescent="0.25">
      <c r="A157" s="88"/>
      <c r="B157" s="15"/>
      <c r="C157" s="20"/>
      <c r="D157" s="20"/>
    </row>
    <row r="158" spans="1:4" ht="20.25" x14ac:dyDescent="0.25">
      <c r="A158" s="88"/>
      <c r="B158" s="15"/>
      <c r="C158" s="20"/>
      <c r="D158" s="20"/>
    </row>
    <row r="159" spans="1:4" ht="20.25" x14ac:dyDescent="0.25">
      <c r="A159" s="88"/>
      <c r="B159" s="15"/>
      <c r="C159" s="20"/>
      <c r="D159" s="20"/>
    </row>
    <row r="160" spans="1:4" ht="20.25" x14ac:dyDescent="0.25">
      <c r="A160" s="88"/>
      <c r="B160" s="15"/>
      <c r="C160" s="20"/>
      <c r="D160" s="20"/>
    </row>
    <row r="161" spans="1:4" ht="20.25" x14ac:dyDescent="0.25">
      <c r="A161" s="88"/>
      <c r="B161" s="15"/>
      <c r="C161" s="20"/>
      <c r="D161" s="20"/>
    </row>
    <row r="162" spans="1:4" ht="20.25" x14ac:dyDescent="0.25">
      <c r="A162" s="88"/>
      <c r="B162" s="15"/>
      <c r="C162" s="20"/>
      <c r="D162" s="20"/>
    </row>
    <row r="163" spans="1:4" ht="20.25" x14ac:dyDescent="0.25">
      <c r="A163" s="88"/>
      <c r="B163" s="15"/>
      <c r="C163" s="20"/>
      <c r="D163" s="20"/>
    </row>
    <row r="164" spans="1:4" ht="20.25" x14ac:dyDescent="0.25">
      <c r="A164" s="88"/>
      <c r="B164" s="15"/>
      <c r="C164" s="20"/>
      <c r="D164" s="20"/>
    </row>
    <row r="165" spans="1:4" ht="20.25" x14ac:dyDescent="0.25">
      <c r="A165" s="88"/>
      <c r="B165" s="15"/>
      <c r="C165" s="20"/>
      <c r="D165" s="20"/>
    </row>
    <row r="166" spans="1:4" ht="20.25" x14ac:dyDescent="0.25">
      <c r="A166" s="88"/>
      <c r="B166" s="15"/>
      <c r="C166" s="20"/>
      <c r="D166" s="20"/>
    </row>
    <row r="167" spans="1:4" ht="20.25" x14ac:dyDescent="0.25">
      <c r="A167" s="88"/>
      <c r="B167" s="15"/>
      <c r="C167" s="20"/>
      <c r="D167" s="20"/>
    </row>
    <row r="168" spans="1:4" ht="20.25" x14ac:dyDescent="0.25">
      <c r="A168" s="88"/>
      <c r="B168" s="15"/>
      <c r="C168" s="20"/>
      <c r="D168" s="20"/>
    </row>
    <row r="169" spans="1:4" ht="20.25" x14ac:dyDescent="0.25">
      <c r="A169" s="88"/>
      <c r="B169" s="15"/>
      <c r="C169" s="20"/>
      <c r="D169" s="20"/>
    </row>
    <row r="170" spans="1:4" ht="20.25" x14ac:dyDescent="0.25">
      <c r="A170" s="88"/>
      <c r="B170" s="15"/>
      <c r="C170" s="20"/>
      <c r="D170" s="20"/>
    </row>
    <row r="171" spans="1:4" ht="20.25" x14ac:dyDescent="0.25">
      <c r="A171" s="88"/>
      <c r="B171" s="15"/>
      <c r="C171" s="20"/>
      <c r="D171" s="20"/>
    </row>
    <row r="172" spans="1:4" ht="20.25" x14ac:dyDescent="0.25">
      <c r="A172" s="88"/>
      <c r="B172" s="15"/>
      <c r="C172" s="20"/>
      <c r="D172" s="20"/>
    </row>
    <row r="173" spans="1:4" ht="20.25" x14ac:dyDescent="0.25">
      <c r="A173" s="88"/>
      <c r="B173" s="15"/>
      <c r="C173" s="20"/>
      <c r="D173" s="20"/>
    </row>
    <row r="174" spans="1:4" ht="20.25" x14ac:dyDescent="0.25">
      <c r="A174" s="88"/>
      <c r="B174" s="15"/>
      <c r="C174" s="20"/>
      <c r="D174" s="20"/>
    </row>
    <row r="175" spans="1:4" ht="20.25" x14ac:dyDescent="0.25">
      <c r="A175" s="88"/>
      <c r="B175" s="15"/>
      <c r="C175" s="20"/>
      <c r="D175" s="20"/>
    </row>
    <row r="176" spans="1:4" ht="20.25" x14ac:dyDescent="0.25">
      <c r="A176" s="88"/>
      <c r="B176" s="15"/>
      <c r="C176" s="20"/>
      <c r="D176" s="20"/>
    </row>
    <row r="177" spans="1:4" ht="20.25" x14ac:dyDescent="0.25">
      <c r="A177" s="88"/>
      <c r="B177" s="15"/>
      <c r="C177" s="20"/>
      <c r="D177" s="20"/>
    </row>
    <row r="178" spans="1:4" ht="20.25" x14ac:dyDescent="0.25">
      <c r="A178" s="88"/>
      <c r="B178" s="15"/>
      <c r="C178" s="20"/>
      <c r="D178" s="20"/>
    </row>
    <row r="179" spans="1:4" ht="20.25" x14ac:dyDescent="0.25">
      <c r="A179" s="88"/>
      <c r="B179" s="15"/>
      <c r="C179" s="20"/>
      <c r="D179" s="20"/>
    </row>
    <row r="180" spans="1:4" ht="20.25" x14ac:dyDescent="0.25">
      <c r="A180" s="88"/>
      <c r="B180" s="15"/>
      <c r="C180" s="20"/>
      <c r="D180" s="20"/>
    </row>
    <row r="181" spans="1:4" ht="20.25" x14ac:dyDescent="0.25">
      <c r="A181" s="88"/>
      <c r="B181" s="15"/>
      <c r="C181" s="20"/>
      <c r="D181" s="20"/>
    </row>
    <row r="182" spans="1:4" ht="20.25" x14ac:dyDescent="0.25">
      <c r="A182" s="88"/>
      <c r="B182" s="15"/>
      <c r="C182" s="20"/>
      <c r="D182" s="20"/>
    </row>
    <row r="183" spans="1:4" ht="20.25" x14ac:dyDescent="0.25">
      <c r="A183" s="88"/>
      <c r="B183" s="15"/>
      <c r="C183" s="20"/>
      <c r="D183" s="20"/>
    </row>
    <row r="184" spans="1:4" ht="20.25" x14ac:dyDescent="0.25">
      <c r="A184" s="88"/>
      <c r="B184" s="15"/>
      <c r="C184" s="20"/>
      <c r="D184" s="20"/>
    </row>
    <row r="185" spans="1:4" ht="20.25" x14ac:dyDescent="0.25">
      <c r="A185" s="88"/>
      <c r="B185" s="15"/>
      <c r="C185" s="20"/>
      <c r="D185" s="20"/>
    </row>
    <row r="186" spans="1:4" ht="20.25" x14ac:dyDescent="0.25">
      <c r="A186" s="88"/>
      <c r="B186" s="15"/>
      <c r="C186" s="20"/>
      <c r="D186" s="20"/>
    </row>
    <row r="187" spans="1:4" ht="20.25" x14ac:dyDescent="0.25">
      <c r="A187" s="88"/>
      <c r="B187" s="15"/>
      <c r="C187" s="20"/>
      <c r="D187" s="20"/>
    </row>
    <row r="188" spans="1:4" ht="20.25" x14ac:dyDescent="0.25">
      <c r="A188" s="88"/>
      <c r="B188" s="15"/>
      <c r="C188" s="20"/>
      <c r="D188" s="20"/>
    </row>
    <row r="189" spans="1:4" ht="20.25" x14ac:dyDescent="0.25">
      <c r="A189" s="88"/>
      <c r="B189" s="15"/>
      <c r="C189" s="20"/>
      <c r="D189" s="20"/>
    </row>
    <row r="190" spans="1:4" ht="20.25" x14ac:dyDescent="0.25">
      <c r="A190" s="88"/>
      <c r="B190" s="15"/>
      <c r="C190" s="20"/>
      <c r="D190" s="20"/>
    </row>
    <row r="191" spans="1:4" ht="20.25" x14ac:dyDescent="0.25">
      <c r="A191" s="88"/>
      <c r="B191" s="15"/>
      <c r="C191" s="20"/>
      <c r="D191" s="20"/>
    </row>
    <row r="192" spans="1:4" ht="20.25" x14ac:dyDescent="0.25">
      <c r="A192" s="88"/>
      <c r="B192" s="15"/>
      <c r="C192" s="20"/>
      <c r="D192" s="20"/>
    </row>
    <row r="193" spans="1:4" ht="20.25" x14ac:dyDescent="0.25">
      <c r="A193" s="88"/>
      <c r="B193" s="15"/>
      <c r="C193" s="20"/>
      <c r="D193" s="20"/>
    </row>
    <row r="194" spans="1:4" ht="20.25" x14ac:dyDescent="0.25">
      <c r="A194" s="88"/>
      <c r="B194" s="15"/>
      <c r="C194" s="20"/>
      <c r="D194" s="20"/>
    </row>
    <row r="195" spans="1:4" ht="20.25" x14ac:dyDescent="0.25">
      <c r="A195" s="88"/>
      <c r="B195" s="15"/>
      <c r="C195" s="20"/>
      <c r="D195" s="20"/>
    </row>
    <row r="196" spans="1:4" ht="20.25" x14ac:dyDescent="0.25">
      <c r="A196" s="88"/>
      <c r="B196" s="15"/>
      <c r="C196" s="20"/>
      <c r="D196" s="20"/>
    </row>
    <row r="197" spans="1:4" ht="20.25" x14ac:dyDescent="0.25">
      <c r="A197" s="88"/>
      <c r="B197" s="15"/>
      <c r="C197" s="20"/>
      <c r="D197" s="20"/>
    </row>
    <row r="198" spans="1:4" ht="20.25" x14ac:dyDescent="0.25">
      <c r="A198" s="88"/>
      <c r="B198" s="15"/>
      <c r="C198" s="20"/>
      <c r="D198" s="20"/>
    </row>
    <row r="199" spans="1:4" ht="20.25" x14ac:dyDescent="0.25">
      <c r="A199" s="88"/>
      <c r="B199" s="15"/>
      <c r="C199" s="20"/>
      <c r="D199" s="20"/>
    </row>
    <row r="200" spans="1:4" ht="20.25" x14ac:dyDescent="0.25">
      <c r="A200" s="88"/>
      <c r="B200" s="15"/>
      <c r="C200" s="20"/>
      <c r="D200" s="20"/>
    </row>
    <row r="201" spans="1:4" ht="20.25" x14ac:dyDescent="0.25">
      <c r="A201" s="88"/>
      <c r="B201" s="15"/>
      <c r="C201" s="20"/>
      <c r="D201" s="20"/>
    </row>
    <row r="202" spans="1:4" ht="20.25" x14ac:dyDescent="0.25">
      <c r="A202" s="88"/>
      <c r="B202" s="15"/>
      <c r="C202" s="20"/>
      <c r="D202" s="20"/>
    </row>
    <row r="203" spans="1:4" ht="20.25" x14ac:dyDescent="0.25">
      <c r="A203" s="88"/>
      <c r="B203" s="15"/>
      <c r="C203" s="20"/>
      <c r="D203" s="20"/>
    </row>
    <row r="204" spans="1:4" ht="20.25" x14ac:dyDescent="0.25">
      <c r="A204" s="88"/>
      <c r="B204" s="15"/>
      <c r="C204" s="20"/>
      <c r="D204" s="20"/>
    </row>
    <row r="205" spans="1:4" ht="20.25" x14ac:dyDescent="0.25">
      <c r="A205" s="88"/>
      <c r="B205" s="15"/>
      <c r="C205" s="20"/>
      <c r="D205" s="20"/>
    </row>
    <row r="206" spans="1:4" ht="20.25" x14ac:dyDescent="0.25">
      <c r="A206" s="88"/>
      <c r="B206" s="15"/>
      <c r="C206" s="20"/>
      <c r="D206" s="20"/>
    </row>
    <row r="207" spans="1:4" ht="20.25" x14ac:dyDescent="0.25">
      <c r="A207" s="88"/>
      <c r="B207" s="15"/>
      <c r="C207" s="20"/>
      <c r="D207" s="20"/>
    </row>
    <row r="208" spans="1:4" x14ac:dyDescent="0.25">
      <c r="A208" s="70"/>
      <c r="B208" s="15"/>
      <c r="C208" s="15"/>
      <c r="D208" s="15"/>
    </row>
    <row r="209" spans="1:8" ht="20.25" x14ac:dyDescent="0.25">
      <c r="A209" s="70"/>
      <c r="B209" s="16" t="s">
        <v>84</v>
      </c>
      <c r="C209" s="16" t="s">
        <v>138</v>
      </c>
      <c r="D209" s="19" t="s">
        <v>84</v>
      </c>
      <c r="E209" s="19" t="s">
        <v>138</v>
      </c>
    </row>
    <row r="210" spans="1:8" ht="21" x14ac:dyDescent="0.35">
      <c r="A210" s="70"/>
      <c r="B210" s="17" t="s">
        <v>86</v>
      </c>
      <c r="C210" s="17" t="s">
        <v>54</v>
      </c>
      <c r="D210" t="s">
        <v>86</v>
      </c>
      <c r="F210" t="str">
        <f>IF(NOT(ISBLANK(D210)),D210,IF(NOT(ISBLANK(E210)),"     "&amp;E210,FALSE))</f>
        <v>Afectación Económica o presupuestal</v>
      </c>
      <c r="G210" t="s">
        <v>86</v>
      </c>
      <c r="H210" t="str">
        <f>IF(NOT(ISERROR(MATCH(G210,_xlfn.ANCHORARRAY(B221),0))),F223&amp;"Por favor no seleccionar los criterios de impacto",G210)</f>
        <v>❌Por favor no seleccionar los criterios de impacto</v>
      </c>
    </row>
    <row r="211" spans="1:8" ht="21" x14ac:dyDescent="0.35">
      <c r="A211" s="70"/>
      <c r="B211" s="17" t="s">
        <v>86</v>
      </c>
      <c r="C211" s="17" t="s">
        <v>89</v>
      </c>
      <c r="E211" t="s">
        <v>54</v>
      </c>
      <c r="F211" t="str">
        <f t="shared" ref="F211:F221" si="0">IF(NOT(ISBLANK(D211)),D211,IF(NOT(ISBLANK(E211)),"     "&amp;E211,FALSE))</f>
        <v xml:space="preserve">     Afectación menor a 10 SMLMV .</v>
      </c>
    </row>
    <row r="212" spans="1:8" ht="21" x14ac:dyDescent="0.35">
      <c r="A212" s="70"/>
      <c r="B212" s="17" t="s">
        <v>86</v>
      </c>
      <c r="C212" s="17" t="s">
        <v>90</v>
      </c>
      <c r="E212" t="s">
        <v>89</v>
      </c>
      <c r="F212" t="str">
        <f t="shared" si="0"/>
        <v xml:space="preserve">     Entre 10 y 50 SMLMV </v>
      </c>
    </row>
    <row r="213" spans="1:8" ht="21" x14ac:dyDescent="0.35">
      <c r="A213" s="70"/>
      <c r="B213" s="17" t="s">
        <v>86</v>
      </c>
      <c r="C213" s="17" t="s">
        <v>91</v>
      </c>
      <c r="E213" t="s">
        <v>90</v>
      </c>
      <c r="F213" t="str">
        <f t="shared" si="0"/>
        <v xml:space="preserve">     Entre 50 y 100 SMLMV </v>
      </c>
    </row>
    <row r="214" spans="1:8" ht="21" x14ac:dyDescent="0.35">
      <c r="A214" s="70"/>
      <c r="B214" s="17" t="s">
        <v>86</v>
      </c>
      <c r="C214" s="17" t="s">
        <v>92</v>
      </c>
      <c r="E214" t="s">
        <v>91</v>
      </c>
      <c r="F214" t="str">
        <f t="shared" si="0"/>
        <v xml:space="preserve">     Entre 100 y 500 SMLMV </v>
      </c>
    </row>
    <row r="215" spans="1:8" ht="21" x14ac:dyDescent="0.35">
      <c r="A215" s="70"/>
      <c r="B215" s="17" t="s">
        <v>53</v>
      </c>
      <c r="C215" s="17" t="s">
        <v>93</v>
      </c>
      <c r="E215" t="s">
        <v>92</v>
      </c>
      <c r="F215" t="str">
        <f t="shared" si="0"/>
        <v xml:space="preserve">     Mayor a 500 SMLMV </v>
      </c>
    </row>
    <row r="216" spans="1:8" ht="21" x14ac:dyDescent="0.35">
      <c r="A216" s="70"/>
      <c r="B216" s="17" t="s">
        <v>53</v>
      </c>
      <c r="C216" s="17" t="s">
        <v>94</v>
      </c>
      <c r="D216" t="s">
        <v>53</v>
      </c>
      <c r="F216" t="str">
        <f t="shared" si="0"/>
        <v>Pérdida Reputacional</v>
      </c>
    </row>
    <row r="217" spans="1:8" ht="21" x14ac:dyDescent="0.35">
      <c r="A217" s="70"/>
      <c r="B217" s="17" t="s">
        <v>53</v>
      </c>
      <c r="C217" s="17" t="s">
        <v>96</v>
      </c>
      <c r="E217" t="s">
        <v>93</v>
      </c>
      <c r="F217" t="str">
        <f t="shared" si="0"/>
        <v xml:space="preserve">     El riesgo afecta la imagen de alguna área de la organización</v>
      </c>
    </row>
    <row r="218" spans="1:8" ht="21" x14ac:dyDescent="0.35">
      <c r="A218" s="70"/>
      <c r="B218" s="17" t="s">
        <v>53</v>
      </c>
      <c r="C218" s="17" t="s">
        <v>95</v>
      </c>
      <c r="E218" t="s">
        <v>94</v>
      </c>
      <c r="F218" t="str">
        <f t="shared" si="0"/>
        <v xml:space="preserve">     El riesgo afecta la imagen de la entidad internamente, de conocimiento general, nivel interno, de junta dircetiva y accionistas y/o de provedores</v>
      </c>
    </row>
    <row r="219" spans="1:8" ht="21" x14ac:dyDescent="0.35">
      <c r="A219" s="70"/>
      <c r="B219" s="17" t="s">
        <v>53</v>
      </c>
      <c r="C219" s="17" t="s">
        <v>114</v>
      </c>
      <c r="E219" t="s">
        <v>96</v>
      </c>
      <c r="F219" t="str">
        <f t="shared" si="0"/>
        <v xml:space="preserve">     El riesgo afecta la imagen de la entidad con algunos usuarios de relevancia frente al logro de los objetivos</v>
      </c>
    </row>
    <row r="220" spans="1:8" x14ac:dyDescent="0.25">
      <c r="A220" s="70"/>
      <c r="B220" s="18"/>
      <c r="C220" s="18"/>
      <c r="E220" t="s">
        <v>95</v>
      </c>
      <c r="F220" t="str">
        <f t="shared" si="0"/>
        <v xml:space="preserve">     El riesgo afecta la imagen de de la entidad con efecto publicitario sostenido a nivel de sector administrativo, nivel departamental o municipal</v>
      </c>
    </row>
    <row r="221" spans="1:8" x14ac:dyDescent="0.25">
      <c r="A221" s="70"/>
      <c r="B221" s="18" t="str" cm="1">
        <f t="array" ref="B221:B223">_xlfn.UNIQUE(Tabla1[[#All],[Criterios]])</f>
        <v>Criterios</v>
      </c>
      <c r="C221" s="18"/>
      <c r="E221" t="s">
        <v>114</v>
      </c>
      <c r="F221" t="str">
        <f t="shared" si="0"/>
        <v xml:space="preserve">     El riesgo afecta la imagen de la entidad a nivel nacional, con efecto publicitarios sostenible a nivel país</v>
      </c>
    </row>
    <row r="222" spans="1:8" x14ac:dyDescent="0.25">
      <c r="A222" s="70"/>
      <c r="B222" s="18" t="str">
        <v>Afectación Económica o presupuestal</v>
      </c>
      <c r="C222" s="18"/>
    </row>
    <row r="223" spans="1:8" x14ac:dyDescent="0.25">
      <c r="B223" s="18" t="str">
        <v>Pérdida Reputacional</v>
      </c>
      <c r="C223" s="18"/>
      <c r="F223" s="21" t="s">
        <v>140</v>
      </c>
    </row>
    <row r="224" spans="1:8" x14ac:dyDescent="0.25">
      <c r="B224" s="14"/>
      <c r="C224" s="14"/>
      <c r="F224" s="21" t="s">
        <v>141</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6"/>
  <sheetViews>
    <sheetView topLeftCell="A13" workbookViewId="0">
      <selection activeCell="A5" sqref="A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81" t="s">
        <v>74</v>
      </c>
      <c r="C1" s="382"/>
      <c r="D1" s="382"/>
      <c r="E1" s="382"/>
      <c r="F1" s="383"/>
    </row>
    <row r="2" spans="2:6" ht="16.5" thickBot="1" x14ac:dyDescent="0.3">
      <c r="B2" s="76"/>
      <c r="C2" s="76"/>
      <c r="D2" s="76"/>
      <c r="E2" s="76"/>
      <c r="F2" s="76"/>
    </row>
    <row r="3" spans="2:6" ht="16.5" thickBot="1" x14ac:dyDescent="0.25">
      <c r="B3" s="385" t="s">
        <v>60</v>
      </c>
      <c r="C3" s="386"/>
      <c r="D3" s="386"/>
      <c r="E3" s="137" t="s">
        <v>61</v>
      </c>
      <c r="F3" s="138" t="s">
        <v>62</v>
      </c>
    </row>
    <row r="4" spans="2:6" ht="31.5" x14ac:dyDescent="0.2">
      <c r="B4" s="387" t="s">
        <v>63</v>
      </c>
      <c r="C4" s="389" t="s">
        <v>12</v>
      </c>
      <c r="D4" s="77" t="s">
        <v>13</v>
      </c>
      <c r="E4" s="78" t="s">
        <v>64</v>
      </c>
      <c r="F4" s="79">
        <v>0.25</v>
      </c>
    </row>
    <row r="5" spans="2:6" ht="47.25" x14ac:dyDescent="0.2">
      <c r="B5" s="388"/>
      <c r="C5" s="390"/>
      <c r="D5" s="80" t="s">
        <v>14</v>
      </c>
      <c r="E5" s="81" t="s">
        <v>65</v>
      </c>
      <c r="F5" s="82">
        <v>0.15</v>
      </c>
    </row>
    <row r="6" spans="2:6" ht="47.25" x14ac:dyDescent="0.2">
      <c r="B6" s="388"/>
      <c r="C6" s="390"/>
      <c r="D6" s="80" t="s">
        <v>15</v>
      </c>
      <c r="E6" s="81" t="s">
        <v>66</v>
      </c>
      <c r="F6" s="82">
        <v>0.1</v>
      </c>
    </row>
    <row r="7" spans="2:6" ht="63" x14ac:dyDescent="0.2">
      <c r="B7" s="388"/>
      <c r="C7" s="390" t="s">
        <v>16</v>
      </c>
      <c r="D7" s="80" t="s">
        <v>9</v>
      </c>
      <c r="E7" s="81" t="s">
        <v>67</v>
      </c>
      <c r="F7" s="82">
        <v>0.25</v>
      </c>
    </row>
    <row r="8" spans="2:6" ht="31.5" x14ac:dyDescent="0.2">
      <c r="B8" s="388"/>
      <c r="C8" s="390"/>
      <c r="D8" s="80" t="s">
        <v>8</v>
      </c>
      <c r="E8" s="81" t="s">
        <v>68</v>
      </c>
      <c r="F8" s="82">
        <v>0.15</v>
      </c>
    </row>
    <row r="9" spans="2:6" ht="47.25" x14ac:dyDescent="0.2">
      <c r="B9" s="388" t="s">
        <v>155</v>
      </c>
      <c r="C9" s="390" t="s">
        <v>17</v>
      </c>
      <c r="D9" s="80" t="s">
        <v>18</v>
      </c>
      <c r="E9" s="81" t="s">
        <v>69</v>
      </c>
      <c r="F9" s="83" t="s">
        <v>70</v>
      </c>
    </row>
    <row r="10" spans="2:6" ht="63" x14ac:dyDescent="0.2">
      <c r="B10" s="388"/>
      <c r="C10" s="390"/>
      <c r="D10" s="80" t="s">
        <v>19</v>
      </c>
      <c r="E10" s="81" t="s">
        <v>71</v>
      </c>
      <c r="F10" s="83" t="s">
        <v>70</v>
      </c>
    </row>
    <row r="11" spans="2:6" ht="47.25" x14ac:dyDescent="0.2">
      <c r="B11" s="388"/>
      <c r="C11" s="390" t="s">
        <v>20</v>
      </c>
      <c r="D11" s="80" t="s">
        <v>21</v>
      </c>
      <c r="E11" s="81" t="s">
        <v>72</v>
      </c>
      <c r="F11" s="83" t="s">
        <v>70</v>
      </c>
    </row>
    <row r="12" spans="2:6" ht="47.25" x14ac:dyDescent="0.2">
      <c r="B12" s="388"/>
      <c r="C12" s="390"/>
      <c r="D12" s="80" t="s">
        <v>22</v>
      </c>
      <c r="E12" s="81" t="s">
        <v>73</v>
      </c>
      <c r="F12" s="83" t="s">
        <v>70</v>
      </c>
    </row>
    <row r="13" spans="2:6" ht="31.5" x14ac:dyDescent="0.2">
      <c r="B13" s="388"/>
      <c r="C13" s="390" t="s">
        <v>23</v>
      </c>
      <c r="D13" s="80" t="s">
        <v>115</v>
      </c>
      <c r="E13" s="81" t="s">
        <v>118</v>
      </c>
      <c r="F13" s="83" t="s">
        <v>70</v>
      </c>
    </row>
    <row r="14" spans="2:6" ht="32.25" thickBot="1" x14ac:dyDescent="0.25">
      <c r="B14" s="391"/>
      <c r="C14" s="392"/>
      <c r="D14" s="84" t="s">
        <v>116</v>
      </c>
      <c r="E14" s="85" t="s">
        <v>117</v>
      </c>
      <c r="F14" s="86" t="s">
        <v>70</v>
      </c>
    </row>
    <row r="15" spans="2:6" ht="49.5" customHeight="1" x14ac:dyDescent="0.2">
      <c r="B15" s="384" t="s">
        <v>152</v>
      </c>
      <c r="C15" s="384"/>
      <c r="D15" s="384"/>
      <c r="E15" s="384"/>
      <c r="F15" s="384"/>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127</v>
      </c>
    </row>
    <row r="3" spans="2:5" x14ac:dyDescent="0.25">
      <c r="B3" t="s">
        <v>31</v>
      </c>
      <c r="E3" t="s">
        <v>126</v>
      </c>
    </row>
    <row r="4" spans="2:5" x14ac:dyDescent="0.25">
      <c r="B4" t="s">
        <v>131</v>
      </c>
      <c r="E4" t="s">
        <v>128</v>
      </c>
    </row>
    <row r="5" spans="2:5" x14ac:dyDescent="0.25">
      <c r="B5" t="s">
        <v>130</v>
      </c>
    </row>
    <row r="8" spans="2:5" x14ac:dyDescent="0.25">
      <c r="B8" t="s">
        <v>82</v>
      </c>
    </row>
    <row r="9" spans="2:5" x14ac:dyDescent="0.25">
      <c r="B9" t="s">
        <v>39</v>
      </c>
    </row>
    <row r="10" spans="2:5" x14ac:dyDescent="0.25">
      <c r="B10" t="s">
        <v>40</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39</v>
      </c>
    </row>
    <row r="21" spans="1:1" x14ac:dyDescent="0.2">
      <c r="A21"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2022-02-07T14:54:21Z</dcterms:modified>
</cp:coreProperties>
</file>